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OURENSE\"/>
    </mc:Choice>
  </mc:AlternateContent>
  <workbookProtection workbookAlgorithmName="SHA-512" workbookHashValue="0iMZU0gNpw7xLO/Tp5f9zYGTx+wGijOd/EXoU2xHgUMnru9Ejoz7dl/MplTeSXYln8U4+tiffXRgIN8xKg4HlQ==" workbookSaltValue="dz6qaeBavzIqee3Zshiev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G16" i="13" s="1"/>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8" i="2" s="1"/>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8" i="2" s="1"/>
  <c r="N12" i="2"/>
  <c r="N11" i="2"/>
  <c r="N10" i="2"/>
  <c r="N9" i="2"/>
  <c r="M17" i="2"/>
  <c r="M16" i="2"/>
  <c r="M18" i="2" s="1"/>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E9" i="13" s="1"/>
  <c r="BA9" i="13"/>
  <c r="AY9" i="13"/>
  <c r="BC12" i="13"/>
  <c r="BC11" i="13"/>
  <c r="BC10" i="13"/>
  <c r="BB10" i="13"/>
  <c r="BE10" i="13" s="1"/>
  <c r="BA10" i="13"/>
  <c r="AZ10" i="13"/>
  <c r="BG10" i="13" s="1"/>
  <c r="AY10" i="13"/>
  <c r="BC9" i="13"/>
  <c r="BC17" i="13"/>
  <c r="BB17" i="13"/>
  <c r="BB18" i="13" s="1"/>
  <c r="BA17" i="13"/>
  <c r="AZ17" i="13"/>
  <c r="AZ18" i="13" s="1"/>
  <c r="AY17" i="13"/>
  <c r="BC16" i="13"/>
  <c r="BF16" i="13" s="1"/>
  <c r="BC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BA13" i="16"/>
  <c r="H10" i="2"/>
  <c r="ES19" i="8"/>
  <c r="BH19" i="13"/>
  <c r="EP19" i="8"/>
  <c r="ER19" i="13"/>
  <c r="AL13" i="16"/>
  <c r="AJ13" i="16"/>
  <c r="EP19" i="19"/>
  <c r="S13" i="16"/>
  <c r="P13" i="16"/>
  <c r="AM13" i="20"/>
  <c r="M13" i="2"/>
  <c r="N13" i="2"/>
  <c r="T13" i="12"/>
  <c r="T13" i="16"/>
  <c r="T13" i="20"/>
  <c r="BF15" i="8"/>
  <c r="AU18" i="21"/>
  <c r="AH13" i="16"/>
  <c r="AP13" i="16"/>
  <c r="T18" i="17"/>
  <c r="BG15" i="13"/>
  <c r="BE15" i="13"/>
  <c r="AX20" i="20"/>
  <c r="S19" i="8" l="1"/>
  <c r="AC19" i="8"/>
  <c r="AL16" i="11"/>
  <c r="C16" i="6"/>
  <c r="F12" i="21"/>
  <c r="BD15" i="13"/>
  <c r="BE16" i="13"/>
  <c r="BF9" i="8"/>
  <c r="AB13" i="21"/>
  <c r="AB19" i="21" s="1"/>
  <c r="R8" i="9"/>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N20" i="20"/>
  <c r="AJ20" i="20"/>
  <c r="AV20" i="20"/>
  <c r="AE20" i="20"/>
  <c r="AB20" i="20"/>
  <c r="Y20" i="20"/>
  <c r="I20" i="20"/>
  <c r="W20" i="21"/>
  <c r="AZ20" i="20"/>
  <c r="J20" i="20"/>
  <c r="R20" i="20"/>
  <c r="U10" i="11"/>
  <c r="U16" i="11"/>
  <c r="AM20" i="20"/>
  <c r="G13" i="14"/>
  <c r="X20" i="20"/>
  <c r="P20" i="20"/>
  <c r="L20" i="20"/>
  <c r="AN20" i="20"/>
  <c r="M20" i="20"/>
  <c r="AO20" i="20"/>
  <c r="AA20" i="20"/>
  <c r="T20" i="21"/>
  <c r="G18" i="14"/>
  <c r="J18" i="2" l="1"/>
  <c r="X12" i="21"/>
  <c r="T9" i="11"/>
  <c r="BF11" i="11"/>
  <c r="BH11" i="16"/>
  <c r="BL9" i="11"/>
  <c r="BH17" i="16"/>
  <c r="BG10" i="11"/>
  <c r="BM16" i="11"/>
  <c r="P17" i="17"/>
  <c r="BL17" i="11"/>
  <c r="P17" i="11" s="1"/>
  <c r="BK12" i="11"/>
  <c r="BF10" i="11"/>
  <c r="Q10" i="11" s="1"/>
  <c r="BK9" i="11"/>
  <c r="X11" i="17"/>
  <c r="BK11" i="11"/>
  <c r="V11" i="11"/>
  <c r="AP10" i="21"/>
  <c r="BM12" i="11"/>
  <c r="BH9" i="11"/>
  <c r="BI15" i="11"/>
  <c r="BJ15" i="11"/>
  <c r="BJ12" i="11"/>
  <c r="AP15" i="20"/>
  <c r="BG15" i="11"/>
  <c r="R17" i="20"/>
  <c r="R18" i="20" s="1"/>
  <c r="BK17" i="11"/>
  <c r="AZ9" i="11"/>
  <c r="AP17" i="20"/>
  <c r="AZ15" i="11"/>
  <c r="AZ18" i="11" s="1"/>
  <c r="BU11" i="17"/>
  <c r="BV17" i="16"/>
  <c r="BU10" i="17"/>
  <c r="BV12" i="16"/>
  <c r="BW12" i="20"/>
  <c r="BV11" i="16"/>
  <c r="BW11" i="20"/>
  <c r="U10" i="17"/>
  <c r="BW10" i="20"/>
  <c r="V12" i="16"/>
  <c r="BU16" i="17"/>
  <c r="BV9" i="16"/>
  <c r="AA17" i="16"/>
  <c r="AZ12" i="11"/>
  <c r="T16" i="11"/>
  <c r="BG12" i="11"/>
  <c r="Q17" i="17"/>
  <c r="BH10" i="11"/>
  <c r="BI9" i="11"/>
  <c r="AQ10" i="21"/>
  <c r="S10" i="17"/>
  <c r="BH10" i="16"/>
  <c r="Q15" i="17"/>
  <c r="BM17" i="11"/>
  <c r="BF15" i="11"/>
  <c r="BH16" i="11"/>
  <c r="AQ12" i="21"/>
  <c r="BJ16" i="11"/>
  <c r="BL16" i="11"/>
  <c r="L10" i="2"/>
  <c r="L15" i="2"/>
  <c r="L16" i="2"/>
  <c r="X10" i="21"/>
  <c r="X19" i="21" s="1"/>
  <c r="U9" i="17"/>
  <c r="U19" i="17" s="1"/>
  <c r="L9" i="2"/>
  <c r="V9" i="16"/>
  <c r="BH9" i="16"/>
  <c r="BJ17" i="11"/>
  <c r="BH15" i="16"/>
  <c r="V11" i="16"/>
  <c r="BF16" i="11"/>
  <c r="P16" i="11" s="1"/>
  <c r="BL12" i="11"/>
  <c r="V12" i="21"/>
  <c r="V13" i="21" s="1"/>
  <c r="V19" i="21" s="1"/>
  <c r="S9" i="17"/>
  <c r="BI10" i="11"/>
  <c r="V9" i="11"/>
  <c r="R10" i="21"/>
  <c r="R13" i="21" s="1"/>
  <c r="R19" i="21" s="1"/>
  <c r="BG9" i="11"/>
  <c r="BH17" i="11"/>
  <c r="T17" i="16"/>
  <c r="BU15" i="17"/>
  <c r="BW17" i="20"/>
  <c r="BW16" i="20"/>
  <c r="BW15" i="20"/>
  <c r="BV10" i="16"/>
  <c r="S11" i="17"/>
  <c r="AZ11" i="11"/>
  <c r="S15" i="16"/>
  <c r="BF12" i="11"/>
  <c r="BL10" i="11"/>
  <c r="BK16" i="11"/>
  <c r="BK18" i="11" s="1"/>
  <c r="BK19" i="11" s="1"/>
  <c r="BG16" i="11"/>
  <c r="BM9" i="11"/>
  <c r="P9" i="11" s="1"/>
  <c r="BK10" i="11"/>
  <c r="S15" i="17"/>
  <c r="S16" i="17"/>
  <c r="L17" i="2"/>
  <c r="V10" i="16"/>
  <c r="AP16" i="20"/>
  <c r="V15" i="11"/>
  <c r="BH15" i="11"/>
  <c r="BH18" i="11" s="1"/>
  <c r="Q17" i="20"/>
  <c r="Q18" i="20" s="1"/>
  <c r="BF17" i="11"/>
  <c r="S17" i="16"/>
  <c r="V17" i="16"/>
  <c r="BK15" i="11"/>
  <c r="AZ17" i="11"/>
  <c r="Q10" i="21"/>
  <c r="BJ11" i="11"/>
  <c r="BI17" i="11"/>
  <c r="BL11" i="11"/>
  <c r="BM15" i="11"/>
  <c r="T15" i="16"/>
  <c r="T18" i="16" s="1"/>
  <c r="T19" i="16" s="1"/>
  <c r="BW9" i="20"/>
  <c r="BV16" i="16"/>
  <c r="BV18" i="16" s="1"/>
  <c r="BV15" i="16"/>
  <c r="BU9" i="17"/>
  <c r="BU17" i="17"/>
  <c r="BU12" i="17"/>
  <c r="AZ16" i="11"/>
  <c r="X17" i="17"/>
  <c r="P15" i="17"/>
  <c r="P18" i="17" s="1"/>
  <c r="P19" i="17" s="1"/>
  <c r="BL15" i="11"/>
  <c r="Q15" i="11" s="1"/>
  <c r="BJ10" i="11"/>
  <c r="BH11" i="11"/>
  <c r="S17" i="17"/>
  <c r="BH12" i="16"/>
  <c r="L12" i="2"/>
  <c r="X15" i="16"/>
  <c r="X18" i="16" s="1"/>
  <c r="T12" i="11"/>
  <c r="R17" i="14"/>
  <c r="R18" i="14" s="1"/>
  <c r="S16" i="14"/>
  <c r="V16" i="14" s="1"/>
  <c r="S11" i="14"/>
  <c r="V11" i="14" s="1"/>
  <c r="T11" i="11"/>
  <c r="AM15" i="11"/>
  <c r="R11" i="14"/>
  <c r="S12" i="14"/>
  <c r="V12" i="14" s="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Q9" i="11" s="1"/>
  <c r="AP12" i="11"/>
  <c r="AI18" i="11"/>
  <c r="AI13" i="11"/>
  <c r="AI19" i="11" s="1"/>
  <c r="F12" i="12"/>
  <c r="F16" i="11"/>
  <c r="AU13" i="11"/>
  <c r="AP17" i="11"/>
  <c r="AT13" i="11"/>
  <c r="AV13" i="11"/>
  <c r="AV18" i="11"/>
  <c r="AX21" i="11"/>
  <c r="R13" i="11"/>
  <c r="Z13" i="11"/>
  <c r="AA13" i="11"/>
  <c r="AC12" i="11"/>
  <c r="AB18" i="11"/>
  <c r="AD13" i="11"/>
  <c r="AF18" i="11"/>
  <c r="AF13" i="11"/>
  <c r="I13" i="11"/>
  <c r="I18" i="11"/>
  <c r="J18" i="11"/>
  <c r="N12" i="1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S18" i="16"/>
  <c r="AD13" i="16"/>
  <c r="AD19" i="16" s="1"/>
  <c r="Q13" i="16"/>
  <c r="X13" i="16"/>
  <c r="AS18" i="16"/>
  <c r="AZ13" i="16"/>
  <c r="AN19" i="16"/>
  <c r="AW19" i="11"/>
  <c r="AC16" i="11"/>
  <c r="K13" i="11"/>
  <c r="N18" i="11"/>
  <c r="AZ10" i="11"/>
  <c r="AT18" i="11"/>
  <c r="M13" i="11"/>
  <c r="L13" i="11"/>
  <c r="AP16" i="11"/>
  <c r="Z18" i="11"/>
  <c r="AB13" i="11"/>
  <c r="W18" i="11"/>
  <c r="Y16" i="11"/>
  <c r="X18" i="11"/>
  <c r="AC9" i="11"/>
  <c r="H13" i="11"/>
  <c r="E13" i="12" s="1"/>
  <c r="S18" i="11"/>
  <c r="H18" i="11"/>
  <c r="X13" i="11"/>
  <c r="AA18" i="11"/>
  <c r="M18" i="11"/>
  <c r="C16" i="14"/>
  <c r="K16" i="14" s="1"/>
  <c r="AV19" i="17"/>
  <c r="J16" i="7"/>
  <c r="J16" i="12"/>
  <c r="F18" i="3"/>
  <c r="G18" i="3" s="1"/>
  <c r="H13" i="3"/>
  <c r="AN18" i="11"/>
  <c r="K12" i="12"/>
  <c r="AJ18" i="11"/>
  <c r="D18" i="5"/>
  <c r="F16" i="2"/>
  <c r="H16" i="2"/>
  <c r="J16" i="2"/>
  <c r="F13" i="3"/>
  <c r="E9" i="3"/>
  <c r="G9" i="3"/>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BC18" i="8"/>
  <c r="AZ18" i="8"/>
  <c r="BE18" i="13"/>
  <c r="BB19" i="13"/>
  <c r="AQ16" i="17"/>
  <c r="AG18" i="11"/>
  <c r="AG21" i="11" s="1"/>
  <c r="AK18" i="11"/>
  <c r="E13" i="14"/>
  <c r="U13" i="17"/>
  <c r="BV13" i="16"/>
  <c r="D19" i="12"/>
  <c r="D11" i="6"/>
  <c r="J11" i="12" s="1"/>
  <c r="E11" i="3"/>
  <c r="R15" i="14"/>
  <c r="BH16" i="16"/>
  <c r="AM17" i="11"/>
  <c r="BI16" i="11"/>
  <c r="BG17" i="11"/>
  <c r="BI11" i="11"/>
  <c r="P19" i="8"/>
  <c r="H18" i="2"/>
  <c r="AO11" i="17"/>
  <c r="T10" i="11"/>
  <c r="AQ18" i="21"/>
  <c r="AM10" i="11"/>
  <c r="BG11" i="11"/>
  <c r="BI12" i="11"/>
  <c r="BJ9" i="11"/>
  <c r="BA19" i="19"/>
  <c r="BD13" i="19"/>
  <c r="BF13" i="19"/>
  <c r="AD19" i="8"/>
  <c r="V19" i="8"/>
  <c r="U16" i="21"/>
  <c r="U18" i="21" s="1"/>
  <c r="V17" i="20"/>
  <c r="V16" i="20"/>
  <c r="U15" i="17"/>
  <c r="U18" i="17" s="1"/>
  <c r="X17" i="16"/>
  <c r="AA10" i="21"/>
  <c r="D13" i="3"/>
  <c r="N19" i="8"/>
  <c r="AM18" i="11"/>
  <c r="BH12" i="1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M18" i="14"/>
  <c r="U21" i="11"/>
  <c r="U13" i="11"/>
  <c r="V13" i="11" s="1"/>
  <c r="U19" i="11"/>
  <c r="V19" i="11" s="1"/>
  <c r="V10" i="11"/>
  <c r="V12" i="11"/>
  <c r="O13" i="11"/>
  <c r="O19" i="11"/>
  <c r="O17" i="11"/>
  <c r="AV20" i="21"/>
  <c r="T20" i="20"/>
  <c r="U17" i="11"/>
  <c r="P12" i="11" l="1"/>
  <c r="G19" i="7"/>
  <c r="AL19" i="21"/>
  <c r="BF18" i="11"/>
  <c r="BW21" i="20"/>
  <c r="BH13" i="11"/>
  <c r="Q16" i="11"/>
  <c r="S13" i="14"/>
  <c r="BI18" i="11"/>
  <c r="BL18" i="11"/>
  <c r="P15" i="11"/>
  <c r="Q12" i="11"/>
  <c r="S18" i="16"/>
  <c r="S19" i="16" s="1"/>
  <c r="AZ13" i="11"/>
  <c r="AZ19" i="11"/>
  <c r="BJ18" i="11"/>
  <c r="Q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H20" i="17"/>
  <c r="BR20" i="16"/>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M20" i="16"/>
  <c r="BD19" i="13" l="1"/>
  <c r="BE19" i="13"/>
  <c r="AA18" i="16"/>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O21" i="11"/>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D19" i="8" l="1"/>
  <c r="F21" i="1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<sst xmlns="http://schemas.openxmlformats.org/spreadsheetml/2006/main" count="2102" uniqueCount="918">
  <si>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</si>
  <si>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</si>
  <si>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</si>
  <si>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</si>
  <si>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</si>
  <si>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</si>
  <si>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</si>
  <si>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</si>
  <si>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</si>
  <si>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</si>
  <si>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</si>
  <si>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</si>
  <si>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</si>
  <si>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</si>
  <si>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</si>
  <si>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</si>
  <si>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</si>
  <si>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</si>
  <si>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</si>
  <si>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</si>
  <si>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</si>
  <si>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</si>
  <si>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</si>
  <si>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</si>
  <si>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</si>
  <si>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</si>
  <si>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</si>
  <si>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</si>
  <si>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</si>
  <si>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</si>
  <si>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</si>
  <si>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</si>
  <si>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</si>
  <si>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</si>
  <si>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</si>
  <si>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</si>
  <si>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</si>
  <si>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</si>
  <si>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</si>
  <si>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</si>
  <si>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</si>
  <si>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</si>
  <si>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</si>
  <si>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</si>
  <si>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</si>
  <si>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</si>
  <si>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</si>
  <si>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</si>
  <si>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</si>
  <si>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</si>
  <si>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</si>
  <si>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</si>
  <si>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</si>
  <si>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</si>
  <si>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</si>
  <si>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</si>
  <si>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</si>
  <si>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</si>
  <si>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</si>
  <si>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</si>
  <si>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</si>
  <si>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</si>
  <si>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</si>
  <si>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</si>
  <si>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</si>
  <si>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</si>
  <si>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</si>
  <si>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</si>
  <si>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</si>
  <si>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</si>
  <si>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</si>
  <si>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</si>
  <si>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</si>
  <si>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</si>
  <si>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</si>
  <si>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</si>
  <si>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</si>
  <si>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</si>
  <si>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</si>
  <si>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</si>
  <si>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</si>
  <si>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</si>
  <si>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</si>
  <si>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</si>
  <si>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</si>
  <si>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</si>
  <si>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</si>
  <si>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</si>
  <si>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</si>
  <si>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</si>
  <si>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</si>
  <si>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</si>
  <si>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</si>
  <si>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</si>
  <si>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</si>
  <si>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</si>
  <si>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</si>
  <si>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</si>
  <si>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</si>
  <si>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</si>
  <si>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</si>
  <si>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</si>
  <si>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</si>
  <si>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</si>
  <si>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</si>
  <si>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</si>
  <si>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</si>
  <si>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</si>
  <si>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</si>
  <si>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</si>
  <si>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</si>
  <si>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</si>
  <si>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</si>
  <si>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</si>
  <si>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</si>
  <si>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</si>
  <si>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</si>
  <si>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</si>
  <si>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</si>
  <si>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</si>
  <si>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</si>
  <si>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</si>
  <si>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</si>
  <si>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</si>
  <si>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</si>
  <si>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</si>
  <si>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</si>
  <si>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</si>
  <si>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</si>
  <si>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</si>
  <si>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</si>
  <si>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</si>
  <si>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</si>
  <si>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</si>
  <si>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</si>
  <si>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</si>
  <si>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</si>
  <si>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</si>
  <si>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</si>
  <si>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</si>
  <si>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</si>
  <si>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</si>
  <si>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</si>
  <si>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</si>
  <si>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</si>
  <si>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</si>
  <si>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</si>
  <si>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</si>
  <si>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</si>
  <si>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</si>
  <si>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</si>
  <si>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</si>
  <si>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</si>
  <si>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</si>
  <si>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</si>
  <si>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</si>
  <si>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</si>
  <si>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</si>
  <si>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</si>
  <si>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</si>
  <si>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</si>
  <si>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</si>
  <si>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</si>
  <si>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</si>
  <si>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</si>
  <si>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</si>
  <si>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</si>
  <si>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</si>
  <si>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</si>
  <si>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</si>
  <si>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</si>
  <si>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</si>
  <si>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</si>
  <si>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</si>
  <si>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</si>
  <si>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</si>
  <si>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</si>
  <si>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</si>
  <si>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</si>
  <si>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</si>
  <si>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</si>
  <si>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</si>
  <si>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</si>
  <si>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</si>
  <si>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</si>
  <si>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</si>
  <si>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</si>
  <si>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</si>
  <si>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</si>
  <si>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</si>
  <si>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</si>
  <si>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</si>
  <si>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</si>
  <si>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</si>
  <si>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</si>
  <si>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</si>
  <si>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</si>
  <si>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</si>
  <si>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</si>
  <si>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</si>
  <si>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</si>
  <si>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</si>
  <si>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</si>
  <si>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</si>
  <si>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</si>
  <si>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</si>
  <si>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</si>
  <si>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</si>
  <si>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</si>
  <si>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</si>
  <si>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</si>
  <si>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</si>
  <si>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</si>
  <si>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</si>
  <si>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</si>
  <si>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</si>
  <si>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</si>
  <si>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</si>
  <si>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</si>
  <si>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</si>
  <si>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</si>
  <si>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</si>
  <si>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</si>
  <si>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</si>
  <si>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</si>
  <si>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</si>
  <si>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</si>
  <si>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</si>
  <si>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</si>
  <si>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</si>
  <si>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</si>
  <si>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</si>
  <si>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</si>
  <si>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</si>
  <si>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</si>
  <si>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</si>
  <si>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</si>
  <si>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</si>
  <si>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</si>
  <si>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</si>
  <si>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</si>
  <si>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</si>
  <si>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</si>
  <si>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</si>
  <si>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</si>
  <si>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</si>
  <si>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</si>
  <si>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</si>
  <si>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</si>
  <si>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</si>
  <si>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</si>
  <si>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</si>
  <si>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</si>
  <si>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</si>
  <si>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</si>
  <si>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</si>
  <si>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</si>
  <si>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</si>
  <si>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</si>
  <si>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</si>
  <si>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</si>
  <si>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</si>
  <si>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</si>
  <si>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</si>
  <si>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</si>
  <si>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</si>
  <si>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</si>
  <si>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</si>
  <si>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</si>
  <si>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</si>
  <si>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</si>
  <si>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</si>
  <si>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</si>
  <si>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</si>
  <si>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</si>
  <si>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</si>
  <si>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</si>
  <si>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</si>
  <si>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</si>
  <si>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</si>
  <si>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</si>
  <si>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</si>
  <si>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</si>
  <si>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</si>
  <si>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</si>
  <si>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</si>
  <si>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</si>
  <si>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</si>
  <si>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</si>
  <si>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</si>
  <si>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</si>
  <si>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</si>
  <si>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</si>
  <si>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</si>
  <si>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</si>
  <si>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</si>
  <si>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</si>
  <si>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</si>
  <si>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</si>
  <si>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</si>
  <si>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</si>
  <si>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</si>
  <si>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</si>
  <si>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</si>
  <si>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</si>
  <si>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</si>
  <si>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</si>
  <si>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</si>
  <si>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</si>
  <si>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</si>
  <si>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</si>
  <si>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</si>
  <si>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</si>
  <si>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</si>
  <si>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</si>
  <si>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</si>
  <si>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</si>
  <si>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</si>
  <si>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</si>
  <si>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</si>
  <si>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</si>
  <si>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</si>
  <si>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</si>
  <si>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</si>
  <si>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</si>
  <si>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</si>
  <si>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</si>
  <si>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</si>
  <si>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</si>
  <si>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</si>
  <si>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</si>
  <si>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</si>
  <si>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</si>
  <si>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</si>
  <si>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</si>
  <si>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</si>
  <si>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</si>
  <si>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</si>
  <si>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</si>
  <si>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</si>
  <si>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</si>
  <si>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</si>
  <si>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</si>
  <si>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</si>
  <si>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</si>
  <si>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</si>
  <si>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</si>
  <si>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</si>
  <si>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</si>
  <si>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</si>
  <si>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</si>
  <si>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</si>
  <si>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</si>
  <si>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</si>
  <si>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</si>
  <si>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</si>
  <si>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</si>
  <si>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</si>
  <si>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</si>
  <si>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</si>
  <si>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</si>
  <si>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</si>
  <si>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</si>
  <si>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</si>
  <si>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</si>
  <si>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</si>
  <si>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</si>
  <si>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</si>
  <si>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</si>
  <si>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</si>
  <si>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</si>
  <si>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</si>
  <si>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</si>
  <si>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</si>
  <si>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</si>
  <si>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</si>
  <si>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</si>
  <si>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</si>
  <si>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</si>
  <si>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</si>
  <si>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</si>
  <si>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</si>
  <si>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</si>
  <si>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</si>
  <si>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</si>
  <si>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</si>
  <si>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</si>
  <si>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</si>
  <si>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</si>
  <si>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</si>
  <si>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</si>
  <si>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</si>
  <si>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</si>
  <si>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</si>
  <si>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</si>
  <si>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</si>
  <si>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</si>
  <si>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</si>
  <si>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</si>
  <si>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</si>
  <si>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</si>
  <si>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</si>
  <si>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</si>
  <si>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</si>
  <si>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</si>
  <si>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</si>
  <si>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</si>
  <si>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</si>
  <si>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</si>
  <si>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</si>
  <si>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</si>
  <si>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</si>
  <si>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</si>
  <si>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</si>
  <si>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</si>
  <si>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</si>
  <si>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</si>
  <si>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</si>
  <si>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</si>
  <si>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</si>
  <si>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</si>
  <si>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</si>
  <si>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</si>
  <si>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</si>
  <si>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</si>
  <si>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</si>
  <si>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</si>
  <si>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</si>
  <si>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</si>
  <si>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</si>
  <si>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</si>
  <si>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</si>
  <si>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</si>
  <si>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</si>
  <si>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</si>
  <si>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</si>
  <si>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</si>
  <si>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</si>
  <si>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</si>
  <si>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</si>
  <si>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</si>
  <si>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</si>
  <si>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</si>
  <si>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</si>
  <si>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</si>
  <si>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</si>
  <si>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</si>
  <si>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</si>
  <si>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</si>
  <si>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</si>
  <si>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</si>
  <si>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</si>
  <si>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</si>
  <si>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</si>
  <si>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</si>
  <si>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</si>
  <si>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</si>
  <si>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</si>
  <si>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</si>
  <si>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</si>
  <si>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</si>
  <si>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</si>
  <si>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</si>
  <si>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</si>
  <si>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</si>
  <si>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</si>
  <si>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</si>
  <si>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</si>
  <si>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</si>
  <si>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</si>
  <si>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</si>
  <si>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</si>
  <si>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</si>
  <si>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</si>
  <si>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</si>
  <si>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</si>
  <si>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</si>
  <si>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</si>
  <si>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</si>
  <si>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</si>
  <si>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</si>
  <si>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</si>
  <si>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</si>
  <si>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</si>
  <si>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</si>
  <si>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</si>
  <si>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</si>
  <si>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</si>
  <si>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</si>
  <si>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</si>
  <si>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</si>
  <si>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</si>
  <si>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</si>
  <si>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</si>
  <si>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</si>
  <si>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</si>
  <si>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</si>
  <si>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</si>
  <si>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</si>
  <si>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</si>
  <si>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</si>
  <si>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</si>
  <si>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</si>
  <si>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</si>
  <si>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</si>
  <si>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</si>
  <si>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</si>
  <si>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</si>
  <si>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</si>
  <si>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</si>
  <si>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</si>
  <si>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</si>
  <si>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</si>
  <si>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</si>
  <si>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</si>
  <si>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</si>
  <si>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</si>
  <si>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</si>
  <si>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</si>
  <si>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</si>
  <si>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</si>
  <si>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</si>
  <si>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</si>
  <si>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</si>
  <si>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</si>
  <si>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</si>
  <si>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</si>
  <si>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</si>
  <si>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</si>
  <si>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</si>
  <si>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</si>
  <si>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</si>
  <si>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</si>
  <si>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</si>
  <si>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</si>
  <si>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</si>
  <si>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</si>
  <si>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</si>
  <si>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</si>
  <si>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</si>
  <si>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</si>
  <si>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</si>
  <si>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</si>
  <si>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</si>
  <si>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</si>
  <si>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</si>
  <si>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</si>
  <si>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</si>
  <si>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</si>
  <si>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</si>
  <si>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</si>
  <si>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</si>
  <si>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</si>
  <si>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</si>
  <si>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</si>
  <si>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</si>
  <si>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</si>
  <si>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</si>
  <si>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</si>
  <si>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</si>
  <si>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</si>
  <si>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</si>
  <si>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</si>
  <si>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</si>
  <si>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</si>
  <si>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</si>
  <si>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</si>
  <si>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</si>
  <si>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</si>
  <si>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</si>
  <si>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</si>
  <si>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</si>
  <si>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</si>
  <si>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</si>
  <si>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</si>
  <si>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</si>
  <si>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</si>
  <si>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</si>
  <si>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</si>
  <si>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</si>
  <si>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</si>
  <si>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</si>
  <si>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</si>
  <si>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</si>
  <si>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</si>
  <si>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</si>
  <si>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</si>
  <si>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</si>
  <si>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</si>
  <si>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</si>
  <si>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</si>
  <si>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</si>
  <si>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</si>
  <si>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</si>
  <si>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</si>
  <si>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</si>
  <si>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</si>
  <si>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</si>
  <si>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</si>
  <si>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</si>
  <si>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</si>
  <si>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</si>
  <si>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</si>
  <si>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</si>
  <si>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</si>
  <si>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</si>
  <si>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</si>
  <si>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</si>
  <si>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</si>
  <si>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</si>
  <si>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</si>
  <si>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</si>
  <si>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</si>
  <si>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</si>
  <si>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</si>
  <si>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</si>
  <si>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</si>
  <si>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</si>
  <si>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</si>
  <si>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</si>
  <si>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</si>
  <si>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</si>
  <si>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</si>
  <si>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</si>
  <si>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</si>
  <si>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</si>
  <si>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</si>
  <si>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</si>
  <si>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</si>
  <si>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</si>
  <si>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</si>
  <si>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</si>
  <si>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</si>
  <si>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</si>
  <si>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</si>
  <si>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</si>
  <si>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</si>
  <si>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</si>
  <si>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</si>
  <si>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</si>
  <si>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</si>
  <si>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</si>
  <si>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</si>
  <si>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</si>
  <si>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</si>
  <si>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</si>
  <si>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</si>
  <si>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</si>
  <si>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</si>
  <si>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</si>
  <si>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</si>
  <si>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</si>
  <si>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</si>
  <si>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</si>
  <si>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</si>
  <si>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</si>
  <si>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</si>
  <si>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</si>
  <si>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</si>
  <si>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</si>
  <si>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</si>
  <si>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</si>
  <si>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</si>
  <si>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</si>
  <si>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</si>
  <si>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</si>
  <si>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</si>
  <si>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</si>
  <si>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</si>
  <si>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</si>
  <si>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</si>
  <si>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</si>
  <si>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</si>
  <si>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</si>
  <si>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</si>
  <si>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</si>
  <si>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</si>
  <si>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</si>
  <si>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</si>
  <si>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</si>
  <si>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</si>
  <si>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</si>
  <si>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</si>
  <si>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</si>
  <si>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</si>
  <si>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</si>
  <si>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</si>
  <si>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</si>
  <si>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</si>
  <si>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</si>
  <si>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</si>
  <si>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</si>
  <si>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</si>
  <si>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</si>
  <si>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</si>
  <si>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</si>
  <si>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</si>
  <si>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</si>
  <si>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</si>
  <si>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</si>
  <si>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</si>
  <si>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</si>
  <si>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</si>
  <si>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</si>
  <si>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</si>
  <si>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</si>
  <si>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</si>
  <si>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</si>
  <si>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</si>
  <si>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</si>
  <si>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</si>
  <si>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</si>
  <si>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</si>
  <si>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</si>
  <si>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</si>
  <si>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</si>
  <si>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</si>
  <si>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</si>
  <si>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</si>
  <si>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</si>
  <si>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</si>
  <si>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</si>
  <si>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</si>
  <si>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</si>
  <si>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</si>
  <si>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</si>
  <si>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</si>
  <si>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</si>
  <si>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</si>
  <si>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</si>
  <si>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</si>
  <si>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</si>
  <si>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</si>
  <si>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</si>
  <si>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</si>
  <si>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</si>
  <si>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</si>
  <si>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</si>
  <si>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</si>
  <si>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</si>
  <si>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</si>
  <si>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</si>
  <si>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</si>
  <si>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</si>
  <si>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</si>
  <si>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</si>
  <si>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</si>
  <si>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</si>
  <si>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</si>
  <si>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</si>
  <si>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</si>
  <si>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</si>
  <si>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</si>
  <si>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</si>
  <si>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</si>
  <si>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</si>
  <si>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</si>
  <si>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</si>
  <si>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</si>
  <si>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</si>
  <si>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</si>
  <si>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</si>
  <si>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</si>
  <si>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</si>
  <si>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</si>
  <si>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</si>
  <si>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</si>
  <si>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</si>
  <si>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</si>
  <si>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</si>
  <si>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</si>
  <si>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</si>
  <si>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</si>
  <si>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</si>
  <si>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</si>
  <si>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</si>
  <si>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</si>
  <si>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</si>
  <si>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</si>
  <si>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</si>
  <si>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</si>
  <si>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</si>
  <si>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</si>
  <si>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</si>
  <si>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</si>
  <si>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</si>
  <si>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</si>
  <si>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</si>
  <si>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</si>
  <si>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</si>
  <si>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</si>
  <si>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</si>
  <si>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</si>
  <si>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</si>
  <si>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</si>
  <si>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</si>
  <si>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</si>
  <si>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</si>
  <si>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</si>
  <si>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</si>
  <si>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</si>
  <si>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</si>
  <si>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</si>
  <si>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</si>
  <si>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</si>
  <si>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</si>
  <si>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</si>
  <si>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</si>
  <si>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</si>
  <si>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</si>
  <si>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</si>
  <si>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</si>
  <si>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</si>
  <si>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</si>
  <si>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</si>
  <si>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</si>
  <si>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</si>
  <si>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</si>
  <si>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</si>
  <si>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</si>
  <si>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</si>
  <si>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</si>
  <si>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</si>
  <si>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</si>
  <si>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</si>
  <si>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</si>
  <si>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</si>
  <si>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</si>
  <si>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</si>
  <si>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</si>
  <si>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</si>
  <si>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</si>
  <si>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</si>
  <si>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</si>
  <si>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</si>
  <si>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</si>
  <si>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</si>
  <si>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</si>
  <si>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</si>
  <si>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</si>
  <si>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</si>
  <si>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</si>
  <si>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</si>
  <si>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</si>
  <si>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</si>
  <si>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</si>
  <si>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</si>
  <si>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</si>
  <si>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</si>
  <si>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</si>
  <si>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</si>
  <si>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</si>
  <si>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</si>
  <si>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</si>
  <si>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</si>
  <si>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</si>
  <si>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</si>
  <si>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</si>
  <si>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</si>
  <si>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</si>
  <si>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</si>
  <si>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</si>
  <si>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</si>
  <si>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</si>
  <si>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</si>
  <si>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</si>
  <si>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</si>
  <si>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</si>
  <si>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</si>
  <si>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</si>
  <si>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</si>
  <si>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</si>
  <si>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</si>
  <si>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</si>
  <si>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</si>
  <si>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</si>
  <si>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</si>
  <si>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</si>
  <si>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</si>
  <si>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</si>
  <si>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</si>
  <si>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</si>
  <si>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</si>
  <si>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</si>
  <si>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</si>
  <si>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</si>
  <si>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</si>
  <si>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</si>
  <si>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</si>
  <si>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</si>
  <si>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</si>
  <si>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</si>
  <si>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</si>
  <si>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</si>
  <si>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</si>
  <si>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</si>
  <si>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</si>
  <si>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</si>
  <si>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</si>
  <si>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</si>
  <si>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</si>
  <si>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</si>
  <si>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</si>
  <si>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</si>
  <si>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</si>
  <si>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</si>
  <si>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</si>
  <si>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</si>
  <si>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</si>
  <si>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</si>
  <si>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</si>
  <si>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28 feb. 2025</t>
  </si>
  <si>
    <t>Tribunales de Justicia</t>
  </si>
  <si>
    <t>GALICIA</t>
  </si>
  <si>
    <t>Provincias</t>
  </si>
  <si>
    <t>OURENSE</t>
  </si>
  <si>
    <t>Resumenes por Partidos Judiciales</t>
  </si>
  <si>
    <t>RIBADAVIA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</si>
</sst>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1</v>
      </c>
      <c r="E5" s="372"/>
      <c r="F5" s="3"/>
      <c r="H5" t="s">
        <v>424</v>
      </c>
      <c r="Q5" s="346">
        <v>3</v>
      </c>
      <c r="R5" s="346">
        <v>2</v>
      </c>
      <c r="S5" t="b">
        <f>AND(Q5&gt;=TrimIni,Q5&lt;=TrimFin)</f>
        <v>1</v>
      </c>
    </row>
    <row r="6" spans="1:19" ht="15">
      <c r="A6" s="373"/>
      <c r="B6" s="372"/>
      <c r="C6" s="370" t="s">
        <v>216</v>
      </c>
      <c r="D6" s="371">
        <v>4</v>
      </c>
      <c r="E6" s="372"/>
      <c r="F6" s="3"/>
      <c r="Q6" s="346">
        <v>4</v>
      </c>
      <c r="R6" s="346">
        <v>3</v>
      </c>
      <c r="S6" t="b">
        <f>AND(Q6&gt;=TrimIni,Q6&lt;=TrimFin)</f>
        <v>1</v>
      </c>
    </row>
    <row r="7" spans="1:19" ht="13.5" thickBot="1">
      <c r="A7" s="374"/>
      <c r="B7" s="375"/>
      <c r="C7" s="372"/>
      <c r="D7" s="372"/>
      <c r="E7" s="372"/>
      <c r="F7" s="3"/>
      <c r="Q7" s="346"/>
      <c r="R7" s="346"/>
    </row>
    <row r="8" spans="1:19" ht="22.5">
      <c r="A8" s="472"/>
      <c r="B8" s="376"/>
      <c r="C8" s="377"/>
      <c r="D8" s="378"/>
      <c r="E8" s="379"/>
      <c r="F8" s="3"/>
      <c r="Q8" s="346"/>
      <c r="R8" s="347">
        <f>11/SUMIF(S3:S6,TRUE,R3:R6)</f>
        <v>1</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DFkLhGyVVB0yJ42PwuI6h4nIvcVaybR9LM8dNBOIhEAMcyoxgWJIE0GuhaKngzG+EVBlFPpmI034DWbM6Hi0Nw==" saltValue="vmkw12/vUEw7R2G/TUSrT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OURENSE</v>
      </c>
      <c r="D3" s="375"/>
      <c r="E3" s="375"/>
      <c r="F3" s="375"/>
      <c r="BQ3" s="471"/>
    </row>
    <row r="4" spans="1:69" ht="13.5" thickBot="1">
      <c r="A4" s="375"/>
      <c r="B4" s="391" t="str">
        <f>Criterios!A11 &amp;"  "&amp;Criterios!B11</f>
        <v>Resumenes por Partidos Judiciales  RIBADAVIA</v>
      </c>
      <c r="C4" s="375"/>
      <c r="D4" s="375"/>
      <c r="E4" s="375"/>
      <c r="F4" s="375"/>
      <c r="BQ4" s="471"/>
    </row>
    <row r="5" spans="1:69" ht="15.75" customHeight="1">
      <c r="A5" s="1198" t="str">
        <f>"Año:  " &amp;Criterios!B5 &amp; "     Trimestre   " &amp;Criterios!D5 &amp; " al " &amp;Criterios!D6</f>
        <v>Año:  2024     Trimestre   1 al 4</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v>
      </c>
      <c r="D10" s="404">
        <f>IF(ISNUMBER(C10/Datos!BH10),C10/Datos!BH10," - ")</f>
        <v>5</v>
      </c>
      <c r="E10" s="403">
        <f>IF(ISNUMBER(Datos!J10),Datos!J10," - ")</f>
        <v>8</v>
      </c>
      <c r="F10" s="404">
        <f>IF(ISNUMBER(E10/B10),E10/B10," - ")</f>
        <v>8</v>
      </c>
      <c r="G10" s="403">
        <f>IF(ISNUMBER(Datos!K10),Datos!K10," - ")</f>
        <v>4</v>
      </c>
      <c r="H10" s="404">
        <f>IF(ISNUMBER(G10/B10),G10/B10," - ")</f>
        <v>4</v>
      </c>
      <c r="I10" s="403">
        <f>IF(ISNUMBER(Datos!L10),Datos!L10," - ")</f>
        <v>9</v>
      </c>
      <c r="J10" s="404">
        <f>IF(ISNUMBER(I10/B10),I10/B10," - ")</f>
        <v>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444</v>
      </c>
      <c r="D12" s="404">
        <f>IF(ISNUMBER(C12/Datos!BH12),C12/Datos!BH12," - ")</f>
        <v>444</v>
      </c>
      <c r="E12" s="403">
        <f>IF(ISNUMBER(IF(J_V="SI",Datos!J12,Datos!J12+Datos!Z12)),IF(J_V="SI",Datos!J12,Datos!J12+Datos!Z12)," - ")</f>
        <v>692</v>
      </c>
      <c r="F12" s="404">
        <f>IF(ISNUMBER(E12/B12),E12/B12," - ")</f>
        <v>692</v>
      </c>
      <c r="G12" s="403">
        <f>IF(ISNUMBER(IF(J_V="SI",Datos!K12,Datos!K12+Datos!AA12)),IF(J_V="SI",Datos!K12,Datos!K12+Datos!AA12)," - ")</f>
        <v>494</v>
      </c>
      <c r="H12" s="404">
        <f>IF(ISNUMBER(G12/B12),G12/B12," - ")</f>
        <v>494</v>
      </c>
      <c r="I12" s="403">
        <f>IF(ISNUMBER(IF(J_V="SI",Datos!L12,Datos!L12+Datos!AB12)),IF(J_V="SI",Datos!L12,Datos!L12+Datos!AB12)," - ")</f>
        <v>642</v>
      </c>
      <c r="J12" s="404">
        <f>IF(ISNUMBER(I12/B12),I12/B12," - ")</f>
        <v>642</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449</v>
      </c>
      <c r="D13" s="850" t="str">
        <f>IF(ISNUMBER(C13/Datos!BI13),C13/Datos!BI13," - ")</f>
        <v xml:space="preserve"> - </v>
      </c>
      <c r="E13" s="849">
        <f>SUBTOTAL(9,E8:E12)</f>
        <v>700</v>
      </c>
      <c r="F13" s="850">
        <f>IF(ISNUMBER(E13/B13),E13/B13," - ")</f>
        <v>700</v>
      </c>
      <c r="G13" s="849">
        <f>SUBTOTAL(9,G8:G12)</f>
        <v>498</v>
      </c>
      <c r="H13" s="850">
        <f>IF(ISNUMBER(G13/B13),G13/B13," - ")</f>
        <v>498</v>
      </c>
      <c r="I13" s="849">
        <f>SUBTOTAL(9,I8:I12)</f>
        <v>651</v>
      </c>
      <c r="J13" s="850">
        <f>IF(ISNUMBER(I13/B13),I13/B13," - ")</f>
        <v>651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457</v>
      </c>
      <c r="D16" s="404">
        <f>IF(ISNUMBER(C16/Datos!BH16),C16/Datos!BH16," - ")</f>
        <v>457</v>
      </c>
      <c r="E16" s="403">
        <f>IF(ISNUMBER(IF(D_I="SI",Datos!J16,Datos!J16+Datos!AD16)),IF(D_I="SI",Datos!J16,Datos!J16+Datos!AD16)," - ")</f>
        <v>501</v>
      </c>
      <c r="F16" s="404">
        <f>IF(ISNUMBER(E16/B16),E16/B16," - ")</f>
        <v>501</v>
      </c>
      <c r="G16" s="403">
        <f>IF(ISNUMBER(IF(D_I="SI",Datos!K16,Datos!K16+Datos!AE16)),IF(D_I="SI",Datos!K16,Datos!K16+Datos!AE16)," - ")</f>
        <v>471</v>
      </c>
      <c r="H16" s="404">
        <f>IF(ISNUMBER(G16/B16),G16/B16," - ")</f>
        <v>471</v>
      </c>
      <c r="I16" s="403">
        <f>IF(ISNUMBER(IF(D_I="SI",Datos!L16,Datos!L16+Datos!AF16)),IF(D_I="SI",Datos!L16,Datos!L16+Datos!AF16)," - ")</f>
        <v>478</v>
      </c>
      <c r="J16" s="404">
        <f>IF(ISNUMBER(I16/B16),I16/B16," - ")</f>
        <v>478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31</v>
      </c>
      <c r="D17" s="404">
        <f>IF(ISNUMBER(C17/Datos!BH17),C17/Datos!BH17," - ")</f>
        <v>31</v>
      </c>
      <c r="E17" s="403">
        <f>IF(ISNUMBER(IF(D_I="SI",Datos!J17,Datos!J17+Datos!AD17)),IF(D_I="SI",Datos!J17,Datos!J17+Datos!AD17)," - ")</f>
        <v>38</v>
      </c>
      <c r="F17" s="404">
        <f>IF(ISNUMBER(E17/B17),E17/B17," - ")</f>
        <v>38</v>
      </c>
      <c r="G17" s="403">
        <f>IF(ISNUMBER(IF(D_I="SI",Datos!K17,Datos!K17+Datos!AE17)),IF(D_I="SI",Datos!K17,Datos!K17+Datos!AE17)," - ")</f>
        <v>36</v>
      </c>
      <c r="H17" s="404">
        <f>IF(ISNUMBER(G17/B17),G17/B17," - ")</f>
        <v>36</v>
      </c>
      <c r="I17" s="403">
        <f>IF(ISNUMBER(IF(D_I="SI",Datos!L17,Datos!L17+Datos!AF17)),IF(D_I="SI",Datos!L17,Datos!L17+Datos!AF17)," - ")</f>
        <v>33</v>
      </c>
      <c r="J17" s="404">
        <f>IF(ISNUMBER(I17/B17),I17/B17," - ")</f>
        <v>33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488</v>
      </c>
      <c r="D18" s="850" t="str">
        <f>IF(ISNUMBER(C18/Datos!BI18),C18/Datos!BI18," - ")</f>
        <v xml:space="preserve"> - </v>
      </c>
      <c r="E18" s="849">
        <f>SUBTOTAL(9,E14:E17)</f>
        <v>539</v>
      </c>
      <c r="F18" s="850">
        <f>IF(ISNUMBER(E18/B18),E18/B18," - ")</f>
        <v>539</v>
      </c>
      <c r="G18" s="849">
        <f>SUBTOTAL(9,G14:G17)</f>
        <v>507</v>
      </c>
      <c r="H18" s="850">
        <f>IF(ISNUMBER(G18/B18),G18/B18," - ")</f>
        <v>507</v>
      </c>
      <c r="I18" s="849">
        <f>SUBTOTAL(9,I14:I17)</f>
        <v>511</v>
      </c>
      <c r="J18" s="850">
        <f>IF(ISNUMBER(I18/B18),I18/B18," - ")</f>
        <v>511</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937</v>
      </c>
      <c r="D19" s="795" t="str">
        <f>IF(ISNUMBER(C19/Datos!BI19),C19/Datos!BI19," - ")</f>
        <v xml:space="preserve"> - </v>
      </c>
      <c r="E19" s="794">
        <f>SUBTOTAL(9,E9:E18)</f>
        <v>1239</v>
      </c>
      <c r="F19" s="795">
        <f>IF(ISNUMBER(E19/B19),E19/B19," - ")</f>
        <v>1239</v>
      </c>
      <c r="G19" s="794">
        <f>SUBTOTAL(9,G9:G18)</f>
        <v>1005</v>
      </c>
      <c r="H19" s="795">
        <f>IF(ISNUMBER(G19/B19),G19/B19," - ")</f>
        <v>1005</v>
      </c>
      <c r="I19" s="794">
        <f>SUBTOTAL(9,I9:I18)</f>
        <v>1162</v>
      </c>
      <c r="J19" s="795">
        <f>IF(ISNUMBER(I19/B19),I19/B19," - ")</f>
        <v>1162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28 feb. 2025</v>
      </c>
    </row>
    <row r="27" spans="1:69">
      <c r="A27" s="414"/>
    </row>
  </sheetData>
  <sheetProtection algorithmName="SHA-512" hashValue="5aMxFUwdmhXJxvQ/T8dCZPuqtSmiSXU1eV3plZ2DYclMP1lEcPO4gnM77shBEqUX8i1wCeBes+Z/y20B1ImhaQ==" saltValue="R0EbHwSPSEBuOYokZ/Zv7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OURENSE</v>
      </c>
      <c r="C3" s="415"/>
      <c r="F3" s="375"/>
      <c r="G3" s="375"/>
      <c r="H3" s="375"/>
    </row>
    <row r="4" spans="1:15" ht="13.5" thickBot="1">
      <c r="A4" s="375"/>
      <c r="B4" s="391" t="str">
        <f>Criterios!A11 &amp;"  "&amp;Criterios!B11</f>
        <v>Resumenes por Partidos Judiciales  RIBADAVIA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28 feb. 2025</v>
      </c>
      <c r="B23" s="391"/>
      <c r="C23" s="391"/>
    </row>
    <row r="27" spans="1:13">
      <c r="A27" s="414"/>
      <c r="B27" s="414"/>
      <c r="C27" s="414"/>
    </row>
  </sheetData>
  <sheetProtection algorithmName="SHA-512" hashValue="SMaYwPfibpPLTJhVSQ8z7u9QEdgwruS2Au6lC5RXrMnv0E26LAhE0sfy97bVos6e/u0/Yq2f3uH0oLUvFEi26w==" saltValue="74d7RXs5/Jz14CA6zDl9Tg=="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OURENSE</v>
      </c>
      <c r="C3" s="391"/>
      <c r="D3" s="425"/>
      <c r="BZ3" s="471"/>
    </row>
    <row r="4" spans="1:78" ht="13.5" thickBot="1">
      <c r="B4" s="391" t="str">
        <f>Criterios!A11 &amp;"  "&amp;Criterios!B11</f>
        <v>Resumenes por Partidos Judiciales  RIBADAVIA</v>
      </c>
      <c r="BZ4" s="471"/>
    </row>
    <row r="5" spans="1:78" ht="15.75" customHeight="1">
      <c r="A5" s="1210" t="str">
        <f>"Año:  " &amp;Criterios!B5 &amp; "                  Trimestre   " &amp;Criterios!D5 &amp; " al " &amp;Criterios!D6</f>
        <v>Año:  2024                  Trimestre   1 al 4</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2</v>
      </c>
      <c r="E10" s="404">
        <f>IF(ISNUMBER(D10/B10),D10/B10," - ")</f>
        <v>2</v>
      </c>
      <c r="F10" s="403">
        <f>IF(ISNUMBER(Datos!N10),Datos!N10," - ")</f>
        <v>2</v>
      </c>
      <c r="G10" s="404">
        <f>IF(ISNUMBER(F10/B10),F10/B10," - ")</f>
        <v>2</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104</v>
      </c>
      <c r="E12" s="404">
        <f t="shared" si="0"/>
        <v>104</v>
      </c>
      <c r="F12" s="403">
        <f>IF(ISNUMBER(Datos!N12),Datos!N12," - ")</f>
        <v>248</v>
      </c>
      <c r="G12" s="404">
        <f t="shared" si="1"/>
        <v>248</v>
      </c>
      <c r="H12" s="403">
        <f>IF(ISNUMBER(Datos!O12),Datos!O12," - ")</f>
        <v>200</v>
      </c>
      <c r="I12" s="404">
        <f t="shared" si="2"/>
        <v>200</v>
      </c>
      <c r="BZ12" s="1186">
        <f>Datos!EZ12</f>
        <v>0</v>
      </c>
    </row>
    <row r="13" spans="1:78" ht="14.25" thickTop="1" thickBot="1">
      <c r="A13" s="848" t="str">
        <f>Datos!A13</f>
        <v>TOTAL</v>
      </c>
      <c r="B13" s="849">
        <f>Datos!AP13</f>
        <v>1</v>
      </c>
      <c r="C13" s="851">
        <f>Datos!AR13</f>
        <v>1</v>
      </c>
      <c r="D13" s="849">
        <f>SUBTOTAL(9,D9:D12)</f>
        <v>106</v>
      </c>
      <c r="E13" s="850">
        <f t="shared" si="0"/>
        <v>106</v>
      </c>
      <c r="F13" s="849">
        <f>SUBTOTAL(9,F9:F12)</f>
        <v>250</v>
      </c>
      <c r="G13" s="850">
        <f t="shared" si="1"/>
        <v>250</v>
      </c>
      <c r="H13" s="849">
        <f>SUBTOTAL(9,H9:H12)</f>
        <v>200</v>
      </c>
      <c r="I13" s="850">
        <f>IF(ISNUMBER(H13/B13),H13/B13," - ")</f>
        <v>200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65</v>
      </c>
      <c r="E16" s="404">
        <f t="shared" si="3"/>
        <v>65</v>
      </c>
      <c r="F16" s="403">
        <f>IF(ISNUMBER(Datos!N16),Datos!N16," - ")</f>
        <v>216</v>
      </c>
      <c r="G16" s="404">
        <f t="shared" si="4"/>
        <v>216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25</v>
      </c>
      <c r="G17" s="404">
        <f>IF(ISNUMBER(F17/B17),F17/B17," - ")</f>
        <v>25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68</v>
      </c>
      <c r="E18" s="850">
        <f t="shared" si="3"/>
        <v>68</v>
      </c>
      <c r="F18" s="849">
        <f>SUBTOTAL(9,F15:F17)</f>
        <v>241</v>
      </c>
      <c r="G18" s="850">
        <f t="shared" si="4"/>
        <v>241</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174</v>
      </c>
      <c r="E19" s="795">
        <f>IF(ISNUMBER(D19/B19),D19/B19," - ")</f>
        <v>174</v>
      </c>
      <c r="F19" s="794">
        <f>SUBTOTAL(9,F8:F18)</f>
        <v>491</v>
      </c>
      <c r="G19" s="795">
        <f>IF(ISNUMBER(F19/B19),F19/B19," - ")</f>
        <v>491</v>
      </c>
      <c r="H19" s="794">
        <f>SUBTOTAL(9,H8:H18)</f>
        <v>200</v>
      </c>
      <c r="I19" s="795">
        <f>IF(ISNUMBER(H19/B19),H19/B19," - ")</f>
        <v>200</v>
      </c>
    </row>
    <row r="22" spans="1:78">
      <c r="A22" s="391" t="str">
        <f>Criterios!A4</f>
        <v>Fecha Informe: 28 feb. 2025</v>
      </c>
    </row>
    <row r="27" spans="1:78">
      <c r="A27" s="414"/>
    </row>
  </sheetData>
  <sheetProtection algorithmName="SHA-512" hashValue="nQSFXXilrmR+cBFEb6D7v4CKYcpfbQS0zJ+9qjGHuktmcgPCErwW7GFVtxzy6it+khyG3VTf0gFJe3gjdfK1vQ==" saltValue="nezUWtiepcf6BHuO9YaSY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OURENSE</v>
      </c>
    </row>
    <row r="4" spans="1:4" ht="13.5" thickBot="1">
      <c r="B4" s="391" t="str">
        <f>Criterios!A11 &amp;"  "&amp;Criterios!B11</f>
        <v>Resumenes por Partidos Judiciales  RIBADAVIA</v>
      </c>
    </row>
    <row r="5" spans="1:4" ht="12.75" customHeight="1">
      <c r="A5" s="1210" t="str">
        <f>"Año:  " &amp;Criterios!B5 &amp; "                  Trimestre   " &amp;Criterios!D5 &amp; " al " &amp;Criterios!D6</f>
        <v>Año:  2024                  Trimestre   1 al 4</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121</v>
      </c>
      <c r="C12" s="434">
        <f>IF(ISNUMBER(Datos!Q12),Datos!Q12," - ")</f>
        <v>48</v>
      </c>
      <c r="D12" s="408">
        <f>IF(ISNUMBER(Datos!R12),Datos!R12," - ")</f>
        <v>628</v>
      </c>
    </row>
    <row r="13" spans="1:4" ht="14.25" thickTop="1" thickBot="1">
      <c r="A13" s="848" t="str">
        <f>Datos!A13</f>
        <v>TOTAL</v>
      </c>
      <c r="B13" s="849">
        <f>SUBTOTAL(9,B9:B12)</f>
        <v>121</v>
      </c>
      <c r="C13" s="853">
        <f>SUBTOTAL(9,C9:C12)</f>
        <v>48</v>
      </c>
      <c r="D13" s="851">
        <f>SUBTOTAL(9,D9:D12)</f>
        <v>628</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13</v>
      </c>
      <c r="C16" s="434">
        <f>IF(ISNUMBER(Datos!Q16),Datos!Q16," - ")</f>
        <v>6</v>
      </c>
      <c r="D16" s="408">
        <f>IF(ISNUMBER(Datos!R16),Datos!R16," - ")</f>
        <v>18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13</v>
      </c>
      <c r="C18" s="853">
        <f>SUBTOTAL(9,C15:C17)</f>
        <v>6</v>
      </c>
      <c r="D18" s="851">
        <f>SUBTOTAL(9,D15:D17)</f>
        <v>18</v>
      </c>
    </row>
    <row r="19" spans="1:4" ht="16.5" customHeight="1" thickTop="1" thickBot="1">
      <c r="A19" s="793" t="str">
        <f>Datos!A19</f>
        <v>TOTAL JURISDICCIONES</v>
      </c>
      <c r="B19" s="798">
        <f>SUBTOTAL(9,B8:B18)</f>
        <v>134</v>
      </c>
      <c r="C19" s="799">
        <f>SUBTOTAL(9,C8:C18)</f>
        <v>54</v>
      </c>
      <c r="D19" s="800">
        <f>SUBTOTAL(9,D8:D18)</f>
        <v>646</v>
      </c>
    </row>
    <row r="20" spans="1:4" ht="7.5" customHeight="1"/>
    <row r="21" spans="1:4" ht="6" customHeight="1"/>
    <row r="22" spans="1:4">
      <c r="A22" s="391" t="str">
        <f>Criterios!A4</f>
        <v>Fecha Informe: 28 feb. 2025</v>
      </c>
    </row>
    <row r="27" spans="1:4">
      <c r="A27" s="414"/>
    </row>
  </sheetData>
  <sheetProtection algorithmName="SHA-512" hashValue="LvRxZ5ONsq13TKoZH5F8QVJtx1rMFdw2zJly1q9sAHdWRb+NXFXYbimfIeHO3lloge+0jgcRQ0toEdpRy0L4zw==" saltValue="SnpnIoqdJRIp4gg9I1Sku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OURENSE</v>
      </c>
    </row>
    <row r="4" spans="1:11" ht="10.5" customHeight="1" thickBot="1">
      <c r="B4" s="391" t="str">
        <f>Criterios!A11 &amp;"  "&amp;Criterios!B11</f>
        <v>Resumenes por Partidos Judiciales  RIBADAVIA</v>
      </c>
    </row>
    <row r="5" spans="1:11" ht="12.75" customHeight="1">
      <c r="A5" s="1210" t="str">
        <f>"Año:  " &amp;Criterios!B5 &amp; "    Trimestre   " &amp;Criterios!D5 &amp; " al " &amp;Criterios!D6</f>
        <v>Año:  2024    Trimestre   1 al 4</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0.33333333333333331</v>
      </c>
      <c r="D10" s="456">
        <f>IF(ISNUMBER((Datos!K10-Datos!U10)/Datos!U10),(Datos!K10-Datos!U10)/Datos!U10," - ")</f>
        <v>3</v>
      </c>
      <c r="E10" s="456">
        <f>IF(ISNUMBER((Datos!L10-Datos!V10)/Datos!V10),(Datos!L10-Datos!V10)/Datos!V10," - ")</f>
        <v>0.8</v>
      </c>
      <c r="F10" s="456" t="str">
        <f>IF(ISNUMBER((Datos!M10-Datos!W10)/Datos!W10),(Datos!M10-Datos!W10)/Datos!W10," - ")</f>
        <v xml:space="preserve"> - </v>
      </c>
      <c r="G10" s="457" t="str">
        <f>IF(ISNUMBER((Datos!N10-Datos!X10)/Datos!X10),(Datos!N10-Datos!X10)/Datos!X10," - ")</f>
        <v xml:space="preserve"> - </v>
      </c>
      <c r="H10" s="455">
        <f>IF(ISNUMBER(((NºAsuntos!G10/NºAsuntos!E10)-Datos!BD10)/Datos!BD10),((NºAsuntos!G10/NºAsuntos!E10)-Datos!BD10)/Datos!BD10," - ")</f>
        <v>2.0000000000000004</v>
      </c>
      <c r="I10" s="456">
        <f>IF(ISNUMBER(((NºAsuntos!I10/NºAsuntos!G10)-Datos!BE10)/Datos!BE10),((NºAsuntos!I10/NºAsuntos!G10)-Datos!BE10)/Datos!BE10," - ")</f>
        <v>-0.55000000000000004</v>
      </c>
      <c r="J10" s="461" t="str">
        <f>IF(ISNUMBER((('Resol  Asuntos'!D10/NºAsuntos!G10)-Datos!BF10)/Datos!BF10),(('Resol  Asuntos'!D10/NºAsuntos!G10)-Datos!BF10)/Datos!BF10," - ")</f>
        <v xml:space="preserve"> - </v>
      </c>
      <c r="K10" s="462">
        <f>IF(ISNUMBER((((NºAsuntos!C10+NºAsuntos!E10)/NºAsuntos!G10)-Datos!BG10)/Datos!BG10),(((NºAsuntos!C10+NºAsuntos!E10)/NºAsuntos!G10)-Datos!BG10)/Datos!BG10," - ")</f>
        <v>-0.45833333333333331</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0.5050847457627119</v>
      </c>
      <c r="C12" s="456">
        <f>IF(ISNUMBER(
   IF(J_V="SI",(Datos!J12-Datos!T12)/Datos!T12,(Datos!J12+Datos!Z12-(Datos!T12+Datos!AH12))/(Datos!T12+Datos!AH12))
     ),IF(J_V="SI",(Datos!J12-Datos!T12)/Datos!T12,(Datos!J12+Datos!Z12-(Datos!T12+Datos!AH12))/(Datos!T12+Datos!AH12))," - ")</f>
        <v>0.16107382550335569</v>
      </c>
      <c r="D12" s="456">
        <f>IF(ISNUMBER(
   IF(J_V="SI",(Datos!K12-Datos!U12)/Datos!U12,(Datos!K12+Datos!AA12-(Datos!U12+Datos!AI12))/(Datos!U12+Datos!AI12))
     ),IF(J_V="SI",(Datos!K12-Datos!U12)/Datos!U12,(Datos!K12+Datos!AA12-(Datos!U12+Datos!AI12))/(Datos!U12+Datos!AI12))," - ")</f>
        <v>0.10514541387024609</v>
      </c>
      <c r="E12" s="456">
        <f>IF(ISNUMBER(
   IF(J_V="SI",(Datos!L12-Datos!V12)/Datos!V12,(Datos!L12+Datos!AB12-(Datos!V12+Datos!AJ12))/(Datos!V12+Datos!AJ12))
     ),IF(J_V="SI",(Datos!L12-Datos!V12)/Datos!V12,(Datos!L12+Datos!AB12-(Datos!V12+Datos!AJ12))/(Datos!V12+Datos!AJ12))," - ")</f>
        <v>0.44594594594594594</v>
      </c>
      <c r="F12" s="456">
        <f>IF(ISNUMBER((Datos!M12-Datos!W12)/Datos!W12),(Datos!M12-Datos!W12)/Datos!W12," - ")</f>
        <v>0.55223880597014929</v>
      </c>
      <c r="G12" s="457">
        <f>IF(ISNUMBER((Datos!N12-Datos!X12)/Datos!X12),(Datos!N12-Datos!X12)/Datos!X12," - ")</f>
        <v>0.22167487684729065</v>
      </c>
      <c r="H12" s="455">
        <f>IF(ISNUMBER(((NºAsuntos!G12/NºAsuntos!E12)-Datos!BD12)/Datos!BD12),((NºAsuntos!G12/NºAsuntos!E12)-Datos!BD12)/Datos!BD12," - ")</f>
        <v>-4.8169556840077142E-2</v>
      </c>
      <c r="I12" s="456">
        <f>IF(ISNUMBER(((NºAsuntos!I12/NºAsuntos!G12)-Datos!BE12)/Datos!BE12),((NºAsuntos!I12/NºAsuntos!G12)-Datos!BE12)/Datos!BE12," - ")</f>
        <v>0.30837618995513727</v>
      </c>
      <c r="J12" s="461">
        <f>IF(ISNUMBER((('Resol  Asuntos'!D12/NºAsuntos!G12)-Datos!BF12)/Datos!BF12),(('Resol  Asuntos'!D12/NºAsuntos!G12)-Datos!BF12)/Datos!BF12," - ")</f>
        <v>-0.53642727508426236</v>
      </c>
      <c r="K12" s="462">
        <f>IF(ISNUMBER((((NºAsuntos!C12+NºAsuntos!E12)/NºAsuntos!G12)-Datos!BG12)/Datos!BG12),(((NºAsuntos!C12+NºAsuntos!E12)/NºAsuntos!G12)-Datos!BG12)/Datos!BG12," - ")</f>
        <v>0.15366894314262738</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0.52203389830508473</v>
      </c>
      <c r="C13" s="855">
        <f>IF(ISNUMBER(
   IF(J_V="SI",(Datos!J13-Datos!T13)/Datos!T13,(Datos!J13+Datos!Z13-(Datos!T13+Datos!AH13))/(Datos!T13+Datos!AH13))
     ),IF(J_V="SI",(Datos!J13-Datos!T13)/Datos!T13,(Datos!J13+Datos!Z13-(Datos!T13+Datos!AH13))/(Datos!T13+Datos!AH13))," - ")</f>
        <v>0.16279069767441862</v>
      </c>
      <c r="D13" s="855">
        <f>IF(ISNUMBER(
   IF(J_V="SI",(Datos!K13-Datos!U13)/Datos!U13,(Datos!K13+Datos!AA13-(Datos!U13+Datos!AI13))/(Datos!U13+Datos!AI13))
     ),IF(J_V="SI",(Datos!K13-Datos!U13)/Datos!U13,(Datos!K13+Datos!AA13-(Datos!U13+Datos!AI13))/(Datos!U13+Datos!AI13))," - ")</f>
        <v>0.11160714285714286</v>
      </c>
      <c r="E13" s="855">
        <f>IF(ISNUMBER(
   IF(J_V="SI",(Datos!L13-Datos!V13)/Datos!V13,(Datos!L13+Datos!AB13-(Datos!V13+Datos!AJ13))/(Datos!V13+Datos!AJ13))
     ),IF(J_V="SI",(Datos!L13-Datos!V13)/Datos!V13,(Datos!L13+Datos!AB13-(Datos!V13+Datos!AJ13))/(Datos!V13+Datos!AJ13))," - ")</f>
        <v>0.44988864142538976</v>
      </c>
      <c r="F13" s="856">
        <f>IF(ISNUMBER((Datos!M13-Datos!W13)/Datos!W13),(Datos!M13-Datos!W13)/Datos!W13," - ")</f>
        <v>0.58208955223880599</v>
      </c>
      <c r="G13" s="857">
        <f>IF(ISNUMBER((Datos!N13-Datos!X13)/Datos!X13),(Datos!N13-Datos!X13)/Datos!X13," - ")</f>
        <v>0.23152709359605911</v>
      </c>
      <c r="H13" s="857">
        <f>IF(ISNUMBER(((NºAsuntos!G13/NºAsuntos!E13)-Datos!BD13)/Datos!BD13),((NºAsuntos!G13/NºAsuntos!E13)-Datos!BD13)/Datos!BD13," - ")</f>
        <v>-4.4017857142857157E-2</v>
      </c>
      <c r="I13" s="857">
        <f>IF(ISNUMBER(((NºAsuntos!I13/NºAsuntos!G13)-Datos!BE13)/Datos!BE13),((NºAsuntos!I13/NºAsuntos!G13)-Datos!BE13)/Datos!BE13," - ")</f>
        <v>0.30431749268790093</v>
      </c>
      <c r="J13" s="857">
        <f>IF(ISNUMBER((('Resol  Asuntos'!D13/NºAsuntos!G13)-Datos!BF13)/Datos!BF13),(('Resol  Asuntos'!D13/NºAsuntos!G13)-Datos!BF13)/Datos!BF13," - ")</f>
        <v>-0.53025896690209107</v>
      </c>
      <c r="K13" s="857">
        <f>IF(ISNUMBER((((NºAsuntos!C13+NºAsuntos!E13)/NºAsuntos!G13)-Datos!BG13)/Datos!BG13),(((NºAsuntos!C13+NºAsuntos!E13)/NºAsuntos!G13)-Datos!BG13)/Datos!BG13," - ")</f>
        <v>0.15232837705336391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0.5082508250825083</v>
      </c>
      <c r="C16" s="456">
        <f>IF(ISNUMBER(
   IF(D_I="SI",(Datos!J16-Datos!T16)/Datos!T16,(Datos!J16+Datos!AD16-(Datos!T16+Datos!AL16))/(Datos!T16+Datos!AL16))
     ),IF(D_I="SI",(Datos!J16-Datos!T16)/Datos!T16,(Datos!J16+Datos!AD16-(Datos!T16+Datos!AL16))/(Datos!T16+Datos!AL16))," - ")</f>
        <v>0</v>
      </c>
      <c r="D16" s="456">
        <f>IF(ISNUMBER(
   IF(D_I="SI",(Datos!K16-Datos!U16)/Datos!U16,(Datos!K16+Datos!AE16-(Datos!U16+Datos!AM16))/(Datos!U16+Datos!AM16))
     ),IF(D_I="SI",(Datos!K16-Datos!U16)/Datos!U16,(Datos!K16+Datos!AE16-(Datos!U16+Datos!AM16))/(Datos!U16+Datos!AM16))," - ")</f>
        <v>0.35734870317002881</v>
      </c>
      <c r="E16" s="456">
        <f>IF(ISNUMBER(
   IF(D_I="SI",(Datos!L16-Datos!V16)/Datos!V16,(Datos!L16+Datos!AF16-(Datos!V16+Datos!AN16))/(Datos!V16+Datos!AN16))
     ),IF(D_I="SI",(Datos!L16-Datos!V16)/Datos!V16,(Datos!L16+Datos!AF16-(Datos!V16+Datos!AN16))/(Datos!V16+Datos!AN16))," - ")</f>
        <v>4.5951859956236324E-2</v>
      </c>
      <c r="F16" s="456">
        <f>IF(ISNUMBER((Datos!M16-Datos!W16)/Datos!W16),(Datos!M16-Datos!W16)/Datos!W16," - ")</f>
        <v>0.54761904761904767</v>
      </c>
      <c r="G16" s="457">
        <f>IF(ISNUMBER((Datos!N16-Datos!X16)/Datos!X16),(Datos!N16-Datos!X16)/Datos!X16," - ")</f>
        <v>0.40259740259740262</v>
      </c>
      <c r="H16" s="455">
        <f>IF(ISNUMBER(((NºAsuntos!G16/NºAsuntos!E16)-Datos!BD16)/Datos!BD16),((NºAsuntos!G16/NºAsuntos!E16)-Datos!BD16)/Datos!BD16," - ")</f>
        <v>0.35734870317002881</v>
      </c>
      <c r="I16" s="456">
        <f>IF(ISNUMBER(((NºAsuntos!I16/NºAsuntos!G16)-Datos!BE16)/Datos!BE16),((NºAsuntos!I16/NºAsuntos!G16)-Datos!BE16)/Datos!BE16," - ")</f>
        <v>-0.22941550869466243</v>
      </c>
      <c r="J16" s="461">
        <f>IF(ISNUMBER((('Resol  Asuntos'!D16/NºAsuntos!G16)-Datos!BF16)/Datos!BF16),(('Resol  Asuntos'!D16/NºAsuntos!G16)-Datos!BF16)/Datos!BF16," - ")</f>
        <v>0.14017793954099683</v>
      </c>
      <c r="K16" s="462">
        <f>IF(ISNUMBER((((NºAsuntos!C16+NºAsuntos!E16)/NºAsuntos!G16)-Datos!BG16)/Datos!BG16),(((NºAsuntos!C16+NºAsuntos!E16)/NºAsuntos!G16)-Datos!BG16)/Datos!BG16," - ")</f>
        <v>-0.12215461968290175</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0.9375</v>
      </c>
      <c r="C17" s="456">
        <f>IF(ISNUMBER(
   IF(D_I="SI",(Datos!J17-Datos!T17)/Datos!T17,(Datos!J17+Datos!AD17-(Datos!T17+Datos!AL17))/(Datos!T17+Datos!AL17))
     ),IF(D_I="SI",(Datos!J17-Datos!T17)/Datos!T17,(Datos!J17+Datos!AD17-(Datos!T17+Datos!AL17))/(Datos!T17+Datos!AL17))," - ")</f>
        <v>0.11764705882352941</v>
      </c>
      <c r="D17" s="456">
        <f>IF(ISNUMBER(
   IF(D_I="SI",(Datos!K17-Datos!U17)/Datos!U17,(Datos!K17+Datos!AE17-(Datos!U17+Datos!AM17))/(Datos!U17+Datos!AM17))
     ),IF(D_I="SI",(Datos!K17-Datos!U17)/Datos!U17,(Datos!K17+Datos!AE17-(Datos!U17+Datos!AM17))/(Datos!U17+Datos!AM17))," - ")</f>
        <v>0.89473684210526316</v>
      </c>
      <c r="E17" s="456">
        <f>IF(ISNUMBER(
   IF(D_I="SI",(Datos!L17-Datos!V17)/Datos!V17,(Datos!L17+Datos!AF17-(Datos!V17+Datos!AN17))/(Datos!V17+Datos!AN17))
     ),IF(D_I="SI",(Datos!L17-Datos!V17)/Datos!V17,(Datos!L17+Datos!AF17-(Datos!V17+Datos!AN17))/(Datos!V17+Datos!AN17))," - ")</f>
        <v>6.4516129032258063E-2</v>
      </c>
      <c r="F17" s="456" t="str">
        <f>IF(ISNUMBER((Datos!M17-Datos!W17)/Datos!W17),(Datos!M17-Datos!W17)/Datos!W17," - ")</f>
        <v xml:space="preserve"> - </v>
      </c>
      <c r="G17" s="457">
        <f>IF(ISNUMBER((Datos!N17-Datos!X17)/Datos!X17),(Datos!N17-Datos!X17)/Datos!X17," - ")</f>
        <v>8.6956521739130432E-2</v>
      </c>
      <c r="H17" s="455">
        <f>IF(ISNUMBER(((NºAsuntos!G17/NºAsuntos!E17)-Datos!BD17)/Datos!BD17),((NºAsuntos!G17/NºAsuntos!E17)-Datos!BD17)/Datos!BD17," - ")</f>
        <v>0.69529085872576168</v>
      </c>
      <c r="I17" s="456">
        <f>IF(ISNUMBER(((NºAsuntos!I17/NºAsuntos!G17)-Datos!BE17)/Datos!BE17),((NºAsuntos!I17/NºAsuntos!G17)-Datos!BE17)/Datos!BE17," - ")</f>
        <v>-0.43817204301075269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-0.27166666666666667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0.52978056426332287</v>
      </c>
      <c r="C18" s="855">
        <f>IF(ISNUMBER(
   IF(Criterios!B14="SI",(Datos!J18-Datos!T18)/Datos!T18,(Datos!J18+Datos!AD18-(Datos!T18+Datos!AL18))/(Datos!T18+Datos!AL18))
     ),IF(Criterios!B14="SI",(Datos!J18-Datos!T18)/Datos!T18,(Datos!J18+Datos!AD18-(Datos!T18+Datos!AL18))/(Datos!T18+Datos!AL18))," - ")</f>
        <v>7.4766355140186919E-3</v>
      </c>
      <c r="D18" s="855">
        <f>IF(ISNUMBER(
   IF(Criterios!B14="SI",(Datos!K18-Datos!U18)/Datos!U18,(Datos!K18+Datos!AE18-(Datos!U18+Datos!AM18))/(Datos!U18+Datos!AM18))
     ),IF(Criterios!B14="SI",(Datos!K18-Datos!U18)/Datos!U18,(Datos!K18+Datos!AE18-(Datos!U18+Datos!AM18))/(Datos!U18+Datos!AM18))," - ")</f>
        <v>0.38524590163934425</v>
      </c>
      <c r="E18" s="855">
        <f>IF(ISNUMBER(
   IF(Criterios!B14="SI",(Datos!L18-Datos!V18)/Datos!V18,(Datos!L18+Datos!AF18-(Datos!V18+Datos!AN18))/(Datos!V18+Datos!AN18))
     ),IF(Criterios!B14="SI",(Datos!L18-Datos!V18)/Datos!V18,(Datos!L18+Datos!AF18-(Datos!V18+Datos!AN18))/(Datos!V18+Datos!AN18))," - ")</f>
        <v>4.7131147540983603E-2</v>
      </c>
      <c r="F18" s="856">
        <f>IF(ISNUMBER((Datos!M18-Datos!W18)/Datos!W18),(Datos!M18-Datos!W18)/Datos!W18," - ")</f>
        <v>0.61904761904761907</v>
      </c>
      <c r="G18" s="857">
        <f>IF(ISNUMBER((Datos!N18-Datos!X18)/Datos!X18),(Datos!N18-Datos!X18)/Datos!X18," - ")</f>
        <v>0.3615819209039548</v>
      </c>
      <c r="H18" s="857">
        <f>IF(ISNUMBER(((NºAsuntos!G18/NºAsuntos!E18)-Datos!BD18)/Datos!BD18),((NºAsuntos!G18/NºAsuntos!E18)-Datos!BD18)/Datos!BD18," - ")</f>
        <v>0.374965783630889</v>
      </c>
      <c r="I18" s="857">
        <f>IF(ISNUMBER(((NºAsuntos!I18/NºAsuntos!G18)-Datos!BE18)/Datos!BE18),((NºAsuntos!I18/NºAsuntos!G18)-Datos!BE18)/Datos!BE18," - ")</f>
        <v>-0.2440828402366863</v>
      </c>
      <c r="J18" s="857">
        <f>IF(ISNUMBER((('Resol  Asuntos'!D18/NºAsuntos!G18)-Datos!BF18)/Datos!BF18),(('Resol  Asuntos'!D18/NºAsuntos!G18)-Datos!BF18)/Datos!BF18," - ")</f>
        <v>0.16877993801070715</v>
      </c>
      <c r="K18" s="857">
        <f>IF(ISNUMBER((((NºAsuntos!C18+NºAsuntos!E18)/NºAsuntos!G18)-Datos!BG18)/Datos!BG18),(((NºAsuntos!C18+NºAsuntos!E18)/NºAsuntos!G18)-Datos!BG18)/Datos!BG18," - ")</f>
        <v>-0.13186813186813195</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0.52605863192182412</v>
      </c>
      <c r="C19" s="802">
        <f>IF(ISNUMBER(
   IF(J_V="SI",(Datos!J19-Datos!T19)/Datos!T19,(Datos!J19+Datos!Z19-(Datos!T19+Datos!AH19))/(Datos!T19+Datos!AH19))
     ),IF(J_V="SI",(Datos!J19-Datos!T19)/Datos!T19,(Datos!J19+Datos!Z19-(Datos!T19+Datos!AH19))/(Datos!T19+Datos!AH19))," - ")</f>
        <v>8.9709762532981532E-2</v>
      </c>
      <c r="D19" s="802">
        <f>IF(ISNUMBER(
   IF(J_V="SI",(Datos!K19-Datos!U19)/Datos!U19,(Datos!K19+Datos!AA19-(Datos!U19+Datos!AI19))/(Datos!U19+Datos!AI19))
     ),IF(J_V="SI",(Datos!K19-Datos!U19)/Datos!U19,(Datos!K19+Datos!AA19-(Datos!U19+Datos!AI19))/(Datos!U19+Datos!AI19))," - ")</f>
        <v>0.23464373464373464</v>
      </c>
      <c r="E19" s="802">
        <f>IF(ISNUMBER(
   IF(J_V="SI",(Datos!L19-Datos!V19)/Datos!V19,(Datos!L19+Datos!AB19-(Datos!V19+Datos!AJ19))/(Datos!V19+Datos!AJ19))
     ),IF(J_V="SI",(Datos!L19-Datos!V19)/Datos!V19,(Datos!L19+Datos!AB19-(Datos!V19+Datos!AJ19))/(Datos!V19+Datos!AJ19))," - ")</f>
        <v>0.24012806830309499</v>
      </c>
      <c r="F19" s="803">
        <f>IF(ISNUMBER((Datos!M19-Datos!W19)/Datos!W19),(Datos!M19-Datos!W19)/Datos!W19," - ")</f>
        <v>0.59633027522935778</v>
      </c>
      <c r="G19" s="804">
        <f>IF(ISNUMBER((Datos!N19-Datos!X19)/Datos!X19),(Datos!N19-Datos!X19)/Datos!X19," - ")</f>
        <v>0.29210526315789476</v>
      </c>
      <c r="H19" s="805">
        <f>IF(ISNUMBER((Tasas!B19-Datos!BD19)/Datos!BD19),(Tasas!B19-Datos!BD19)/Datos!BD19," - ")</f>
        <v>0.13300236181592118</v>
      </c>
      <c r="I19" s="806">
        <f>IF(ISNUMBER((Tasas!C19-Datos!BE19)/Datos!BE19),(Tasas!C19-Datos!BE19)/Datos!BE19," - ")</f>
        <v>4.4420374116611273E-3</v>
      </c>
      <c r="J19" s="807">
        <f>IF(ISNUMBER((Tasas!D19-Datos!BF19)/Datos!BF19),(Tasas!D19-Datos!BF19)/Datos!BF19," - ")</f>
        <v>-0.42477002741395065</v>
      </c>
      <c r="K19" s="807">
        <f>IF(ISNUMBER((Tasas!E19-Datos!BG19)/Datos!BG19),(Tasas!E19-Datos!BG19)/Datos!BG19," - ")</f>
        <v>6.5401149591847122E-3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28 feb.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0D7xwT6YlPpFcoN/hrIxVUmvikJlTJbk8gztc47QE7apBg3JOKV07D6r2fnLNSzgEekSmvzZok0ykkEhyhqrfg==" saltValue="rnPYrQL/n3mlCQ9m1T2p3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OURENSE</v>
      </c>
    </row>
    <row r="4" spans="1:7" ht="11.25" customHeight="1" thickBot="1">
      <c r="B4" s="391" t="str">
        <f>Criterios!A11 &amp;"  "&amp;Criterios!B11</f>
        <v>Resumenes por Partidos Judiciales  RIBADAVIA</v>
      </c>
    </row>
    <row r="5" spans="1:7" ht="12.75" customHeight="1">
      <c r="A5" s="1210" t="str">
        <f>"Año:  " &amp;Criterios!B5 &amp; "    Trimestre   " &amp;Criterios!D5 &amp; " al " &amp;Criterios!D6</f>
        <v>Año:  2024    Trimestre   1 al 4</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0.5</v>
      </c>
      <c r="C10" s="443">
        <f>IF(ISNUMBER(NºAsuntos!I10/NºAsuntos!G10),NºAsuntos!I10/NºAsuntos!G10," - ")</f>
        <v>2.25</v>
      </c>
      <c r="D10" s="444">
        <f>IF(ISNUMBER('Resol  Asuntos'!D10/NºAsuntos!G10),'Resol  Asuntos'!D10/NºAsuntos!G10," - ")</f>
        <v>0.5</v>
      </c>
      <c r="E10" s="445">
        <f>IF(ISNUMBER((NºAsuntos!C10+NºAsuntos!E10)/NºAsuntos!G10),(NºAsuntos!C10+NºAsuntos!E10)/NºAsuntos!G10," - ")</f>
        <v>3.25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0.71387283236994215</v>
      </c>
      <c r="C12" s="443">
        <f>IF(ISNUMBER(NºAsuntos!I12/NºAsuntos!G12),NºAsuntos!I12/NºAsuntos!G12," - ")</f>
        <v>1.2995951417004048</v>
      </c>
      <c r="D12" s="444">
        <f>IF(ISNUMBER('Resol  Asuntos'!D12/NºAsuntos!G12),'Resol  Asuntos'!D12/NºAsuntos!G12," - ")</f>
        <v>0.21052631578947367</v>
      </c>
      <c r="E12" s="445">
        <f>IF(ISNUMBER((NºAsuntos!C12+NºAsuntos!E12)/NºAsuntos!G12),(NºAsuntos!C12+NºAsuntos!E12)/NºAsuntos!G12," - ")</f>
        <v>2.2995951417004048</v>
      </c>
      <c r="G12" s="463"/>
    </row>
    <row r="13" spans="1:7" ht="14.25" thickTop="1" thickBot="1">
      <c r="A13" s="848" t="str">
        <f>Datos!A13</f>
        <v>TOTAL</v>
      </c>
      <c r="B13" s="858">
        <f>IF(ISNUMBER(NºAsuntos!G13/NºAsuntos!E13),NºAsuntos!G13/NºAsuntos!E13," - ")</f>
        <v>0.71142857142857141</v>
      </c>
      <c r="C13" s="859">
        <f>IF(ISNUMBER(NºAsuntos!I13/NºAsuntos!G13),NºAsuntos!I13/NºAsuntos!G13," - ")</f>
        <v>1.3072289156626506</v>
      </c>
      <c r="D13" s="860">
        <f>IF(ISNUMBER('Resol  Asuntos'!D13/NºAsuntos!G13),'Resol  Asuntos'!D13/NºAsuntos!G13," - ")</f>
        <v>0.21285140562248997</v>
      </c>
      <c r="E13" s="861">
        <f>IF(ISNUMBER((NºAsuntos!C13+NºAsuntos!E13)/NºAsuntos!G13),(NºAsuntos!C13+NºAsuntos!E13)/NºAsuntos!G13," - ")</f>
        <v>2.3072289156626504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0.94011976047904189</v>
      </c>
      <c r="C16" s="443">
        <f>IF(ISNUMBER(NºAsuntos!I16/NºAsuntos!G16),NºAsuntos!I16/NºAsuntos!G16," - ")</f>
        <v>1.0148619957537155</v>
      </c>
      <c r="D16" s="444">
        <f>IF(ISNUMBER('Resol  Asuntos'!D16/NºAsuntos!G16),'Resol  Asuntos'!D16/NºAsuntos!G16," - ")</f>
        <v>0.13800424628450106</v>
      </c>
      <c r="E16" s="445">
        <f>IF(ISNUMBER((NºAsuntos!C16+NºAsuntos!E16)/NºAsuntos!G16),(NºAsuntos!C16+NºAsuntos!E16)/NºAsuntos!G16," - ")</f>
        <v>2.0339702760084926</v>
      </c>
      <c r="G16" s="463"/>
    </row>
    <row r="17" spans="1:7" ht="13.5" thickBot="1">
      <c r="A17" s="402" t="str">
        <f>Datos!A17</f>
        <v>Jdos. Violencia contra la mujer</v>
      </c>
      <c r="B17" s="442">
        <f>IF(ISNUMBER(NºAsuntos!G17/NºAsuntos!E17),NºAsuntos!G17/NºAsuntos!E17," - ")</f>
        <v>0.94736842105263153</v>
      </c>
      <c r="C17" s="443">
        <f>IF(ISNUMBER(NºAsuntos!I17/NºAsuntos!G17),NºAsuntos!I17/NºAsuntos!G17," - ")</f>
        <v>0.91666666666666663</v>
      </c>
      <c r="D17" s="444">
        <f>IF(ISNUMBER('Resol  Asuntos'!D17/NºAsuntos!G17),'Resol  Asuntos'!D17/NºAsuntos!G17," - ")</f>
        <v>8.3333333333333329E-2</v>
      </c>
      <c r="E17" s="445">
        <f>IF(ISNUMBER((NºAsuntos!C17+NºAsuntos!E17)/NºAsuntos!G17),(NºAsuntos!C17+NºAsuntos!E17)/NºAsuntos!G17," - ")</f>
        <v>1.9166666666666667</v>
      </c>
      <c r="G17" s="463"/>
    </row>
    <row r="18" spans="1:7" ht="14.25" thickTop="1" thickBot="1">
      <c r="A18" s="848" t="str">
        <f>Datos!A18</f>
        <v>TOTAL</v>
      </c>
      <c r="B18" s="858">
        <f>IF(ISNUMBER(NºAsuntos!G18/NºAsuntos!E18),NºAsuntos!G18/NºAsuntos!E18," - ")</f>
        <v>0.94063079777365488</v>
      </c>
      <c r="C18" s="859">
        <f>IF(ISNUMBER(NºAsuntos!I18/NºAsuntos!G18),NºAsuntos!I18/NºAsuntos!G18," - ")</f>
        <v>1.0078895463510849</v>
      </c>
      <c r="D18" s="862">
        <f>IF(ISNUMBER('Resol  Asuntos'!D18/NºAsuntos!G18),'Resol  Asuntos'!D18/NºAsuntos!G18," - ")</f>
        <v>0.13412228796844181</v>
      </c>
      <c r="E18" s="861">
        <f>IF(ISNUMBER((NºAsuntos!C18+NºAsuntos!E18)/NºAsuntos!G18),(NºAsuntos!C18+NºAsuntos!E18)/NºAsuntos!G18," - ")</f>
        <v>2.0256410256410255</v>
      </c>
      <c r="G18" s="463"/>
    </row>
    <row r="19" spans="1:7" ht="15.75" customHeight="1" thickTop="1" thickBot="1">
      <c r="A19" s="793" t="str">
        <f>Datos!A19</f>
        <v>TOTAL JURISDICCIONES</v>
      </c>
      <c r="B19" s="808">
        <f>IF(ISNUMBER(NºAsuntos!G19/NºAsuntos!E19),NºAsuntos!G19/NºAsuntos!E19," - ")</f>
        <v>0.81113801452784506</v>
      </c>
      <c r="C19" s="809">
        <f>IF(ISNUMBER(NºAsuntos!I19/NºAsuntos!G19),NºAsuntos!I19/NºAsuntos!G19," - ")</f>
        <v>1.1562189054726368</v>
      </c>
      <c r="D19" s="810">
        <f>IF(ISNUMBER('Resol  Asuntos'!D19/NºAsuntos!G19),'Resol  Asuntos'!D19/NºAsuntos!G19," - ")</f>
        <v>0.17313432835820897</v>
      </c>
      <c r="E19" s="811">
        <f>IF(ISNUMBER((NºAsuntos!C19+NºAsuntos!E19)/NºAsuntos!G19),(NºAsuntos!C19+NºAsuntos!E19)/NºAsuntos!G19," - ")</f>
        <v>2.1651741293532338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28 feb.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qMBhs33KBXfTf9Z2ENC9fTBI198RK9R44NGQMsOnwoLOaY/sHKlGeRZ7bHYDqw+FFO4fIYIbzVNu7fqU22O1fQ==" saltValue="hmBlKQ5/z4wW4bkZWDqGQ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OURENSE</v>
      </c>
      <c r="N2" s="262" t="str">
        <f>Criterios!A11 &amp;"  "&amp;Criterios!B11</f>
        <v>Resumenes por Partidos Judiciales  RIBADAVIA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1 al 4</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v>
      </c>
      <c r="G10" s="333">
        <f>IF(ISNUMBER(Datos!I10),Datos!I10," - ")</f>
        <v>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v>
      </c>
      <c r="X10" s="226">
        <f>IF(ISNUMBER(Datos!Q10),Datos!Q10," - ")</f>
        <v>0</v>
      </c>
      <c r="Y10" s="334">
        <f t="shared" ref="Y10:Y12" si="0">SUM(W10:X10)</f>
        <v>4</v>
      </c>
      <c r="Z10" s="335" t="str">
        <f>IF(ISNUMBER(Datos!CC10),Datos!CC10," - ")</f>
        <v xml:space="preserve"> - </v>
      </c>
      <c r="AA10" s="332">
        <f>IF(ISNUMBER(Datos!L10),Datos!L10,"-")</f>
        <v>9</v>
      </c>
      <c r="AB10" s="334">
        <f>IF(ISNUMBER(Datos!R10),Datos!R10," - ")</f>
        <v>0</v>
      </c>
      <c r="AC10" s="334">
        <f t="shared" ref="AC10:AC12" si="1">IF(ISNUMBER(AA10+AB10),AA10+AB10," - ")</f>
        <v>9</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2</v>
      </c>
      <c r="AJ10" s="231" t="str">
        <f>IF(ISNUMBER(Datos!BW10),Datos!BW10," - ")</f>
        <v xml:space="preserve"> - </v>
      </c>
      <c r="AK10" s="232" t="str">
        <f>IF(ISNUMBER(Datos!BX10),Datos!BX10," - ")</f>
        <v xml:space="preserve"> - </v>
      </c>
      <c r="AL10" s="243">
        <f>IF(ISNUMBER(NºAsuntos!G10/NºAsuntos!E10),NºAsuntos!G10/NºAsuntos!E10," - ")</f>
        <v>0.5</v>
      </c>
      <c r="AM10" s="260">
        <f>IF(ISNUMBER(((NºAsuntos!I10/NºAsuntos!G10)*11)/factor_trimestre),((NºAsuntos!I10/NºAsuntos!G10)*11)/factor_trimestre," - ")</f>
        <v>24.75</v>
      </c>
      <c r="AN10" s="244">
        <f>IF(ISNUMBER('Resol  Asuntos'!D10/NºAsuntos!G10),'Resol  Asuntos'!D10/NºAsuntos!G10," - ")</f>
        <v>0.5</v>
      </c>
      <c r="AO10" s="245">
        <f>IF(ISNUMBER((NºAsuntos!C10+NºAsuntos!E10)/NºAsuntos!G10),(NºAsuntos!C10+NºAsuntos!E10)/NºAsuntos!G10," - ")</f>
        <v>3.25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121</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48</v>
      </c>
      <c r="Y12" s="334">
        <f t="shared" si="0"/>
        <v>48</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628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104</v>
      </c>
      <c r="AJ12" s="229" t="str">
        <f>IF(ISNUMBER(Datos!BW12),Datos!BW12," - ")</f>
        <v xml:space="preserve"> - </v>
      </c>
      <c r="AK12" s="228" t="str">
        <f>IF(ISNUMBER(Datos!BX12),Datos!BX12," - ")</f>
        <v xml:space="preserve"> - </v>
      </c>
      <c r="AL12" s="243">
        <f>IF(ISNUMBER(NºAsuntos!G12/NºAsuntos!E12),NºAsuntos!G12/NºAsuntos!E12," - ")</f>
        <v>0.71387283236994215</v>
      </c>
      <c r="AM12" s="260">
        <f>IF(ISNUMBER(((NºAsuntos!I12/NºAsuntos!G12)*11)/factor_trimestre),((NºAsuntos!I12/NºAsuntos!G12)*11)/factor_trimestre," - ")</f>
        <v>14.295546558704453</v>
      </c>
      <c r="AN12" s="244">
        <f>IF(ISNUMBER('Resol  Asuntos'!D12/NºAsuntos!G12),'Resol  Asuntos'!D12/NºAsuntos!G12," - ")</f>
        <v>0.21052631578947367</v>
      </c>
      <c r="AO12" s="245">
        <f>IF(ISNUMBER((NºAsuntos!C12+NºAsuntos!E12)/NºAsuntos!G12),(NºAsuntos!C12+NºAsuntos!E12)/NºAsuntos!G12," - ")</f>
        <v>2.2995951417004048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5</v>
      </c>
      <c r="G13" s="866">
        <f t="shared" si="3"/>
        <v>5</v>
      </c>
      <c r="H13" s="865">
        <f t="shared" si="3"/>
        <v>0</v>
      </c>
      <c r="I13" s="867">
        <f t="shared" si="3"/>
        <v>0</v>
      </c>
      <c r="J13" s="867">
        <f t="shared" si="3"/>
        <v>0</v>
      </c>
      <c r="K13" s="867">
        <f t="shared" si="3"/>
        <v>0</v>
      </c>
      <c r="L13" s="867">
        <f t="shared" si="3"/>
        <v>121</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v>
      </c>
      <c r="X13" s="867">
        <f t="shared" si="4"/>
        <v>48</v>
      </c>
      <c r="Y13" s="868">
        <f t="shared" si="4"/>
        <v>52</v>
      </c>
      <c r="Z13" s="868">
        <f t="shared" si="4"/>
        <v>0</v>
      </c>
      <c r="AA13" s="868">
        <f t="shared" si="4"/>
        <v>9</v>
      </c>
      <c r="AB13" s="868">
        <f t="shared" si="4"/>
        <v>628</v>
      </c>
      <c r="AC13" s="868">
        <f t="shared" si="4"/>
        <v>9</v>
      </c>
      <c r="AD13" s="868">
        <f t="shared" si="4"/>
        <v>0</v>
      </c>
      <c r="AE13" s="872">
        <f t="shared" si="4"/>
        <v>0</v>
      </c>
      <c r="AF13" s="865">
        <f t="shared" si="4"/>
        <v>0</v>
      </c>
      <c r="AG13" s="873">
        <f t="shared" si="4"/>
        <v>0</v>
      </c>
      <c r="AH13" s="870">
        <f t="shared" si="4"/>
        <v>0</v>
      </c>
      <c r="AI13" s="865">
        <f t="shared" si="4"/>
        <v>106</v>
      </c>
      <c r="AJ13" s="867">
        <f t="shared" si="4"/>
        <v>0</v>
      </c>
      <c r="AK13" s="870">
        <f>SUBTOTAL(9,AK9:AK12)</f>
        <v>0</v>
      </c>
      <c r="AL13" s="874">
        <f>IF(ISNUMBER(NºAsuntos!G13/NºAsuntos!E13),NºAsuntos!G13/NºAsuntos!E13," - ")</f>
        <v>0.71142857142857141</v>
      </c>
      <c r="AM13" s="874">
        <f>IF(ISNUMBER(((NºAsuntos!I13/NºAsuntos!G13)*11)/factor_trimestre),((NºAsuntos!I13/NºAsuntos!G13)*11)/factor_trimestre," - ")</f>
        <v>14.379518072289157</v>
      </c>
      <c r="AN13" s="875">
        <f>IF(ISNUMBER('Resol  Asuntos'!D13/NºAsuntos!G13),'Resol  Asuntos'!D13/NºAsuntos!G13," - ")</f>
        <v>0.21285140562248997</v>
      </c>
      <c r="AO13" s="876">
        <f>IF(ISNUMBER((NºAsuntos!C13+NºAsuntos!E13)/NºAsuntos!G13),(NºAsuntos!C13+NºAsuntos!E13)/NºAsuntos!G13," - ")</f>
        <v>2.3072289156626504</v>
      </c>
      <c r="AP13" s="877" t="str">
        <f t="shared" si="2"/>
        <v xml:space="preserve"> - </v>
      </c>
      <c r="AQ13" s="877">
        <f>IF(ISNUMBER((H13-W13+K13)/(F13)),(H13-W13+K13)/(F13)," - ")</f>
        <v>-0.8</v>
      </c>
      <c r="AR13" s="878">
        <f>IF(ISNUMBER((Datos!P13-Datos!Q13)/(Datos!R13-Datos!P13+Datos!Q13)),(Datos!P13-Datos!Q13)/(Datos!R13-Datos!P13+Datos!Q13)," - ")</f>
        <v>0.13153153153153152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448</v>
      </c>
      <c r="G16" s="333">
        <f>IF(ISNUMBER(IF(D_I="SI",Datos!I16,Datos!I16+Datos!AC16)),IF(D_I="SI",Datos!I16,Datos!I16+Datos!AC16)," - ")</f>
        <v>457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13</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471</v>
      </c>
      <c r="X16" s="226">
        <f>IF(ISNUMBER(Datos!Q16),Datos!Q16," - ")</f>
        <v>6</v>
      </c>
      <c r="Y16" s="334">
        <f t="shared" ref="Y16:Y17" si="7">SUM(W16:X16)</f>
        <v>477</v>
      </c>
      <c r="Z16" s="335" t="str">
        <f>IF(ISNUMBER(Datos!CC16),Datos!CC16," - ")</f>
        <v xml:space="preserve"> - </v>
      </c>
      <c r="AA16" s="332">
        <f>IF(ISNUMBER(IF(D_I="SI",Datos!L16,Datos!L16+Datos!AF16)),IF(D_I="SI",Datos!L16,Datos!L16+Datos!AF16)," - ")</f>
        <v>478</v>
      </c>
      <c r="AB16" s="334">
        <f>IF(ISNUMBER(Datos!R16),Datos!R16," - ")</f>
        <v>18</v>
      </c>
      <c r="AC16" s="334">
        <f t="shared" si="6"/>
        <v>496</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65</v>
      </c>
      <c r="AJ16" s="231" t="str">
        <f>IF(ISNUMBER(Datos!BW16),Datos!BW16," - ")</f>
        <v xml:space="preserve"> - </v>
      </c>
      <c r="AK16" s="232" t="str">
        <f>IF(ISNUMBER(Datos!BX16),Datos!BX16," - ")</f>
        <v xml:space="preserve"> - </v>
      </c>
      <c r="AL16" s="243">
        <f>IF(ISNUMBER(NºAsuntos!G16/NºAsuntos!E16),NºAsuntos!G16/NºAsuntos!E16," - ")</f>
        <v>0.94011976047904189</v>
      </c>
      <c r="AM16" s="260">
        <f>IF(ISNUMBER(((NºAsuntos!I16/NºAsuntos!G16)*11)/factor_trimestre),((NºAsuntos!I16/NºAsuntos!G16)*11)/factor_trimestre," - ")</f>
        <v>11.163481953290871</v>
      </c>
      <c r="AN16" s="244">
        <f>IF(ISNUMBER('Resol  Asuntos'!D16/NºAsuntos!G16),'Resol  Asuntos'!D16/NºAsuntos!G16," - ")</f>
        <v>0.13800424628450106</v>
      </c>
      <c r="AO16" s="245">
        <f>IF(ISNUMBER((NºAsuntos!C16+NºAsuntos!E16)/NºAsuntos!G16),(NºAsuntos!C16+NºAsuntos!E16)/NºAsuntos!G16," - ")</f>
        <v>2.0339702760084926</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31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0</v>
      </c>
      <c r="Y17" s="334">
        <f t="shared" si="7"/>
        <v>36</v>
      </c>
      <c r="Z17" s="335" t="str">
        <f>IF(ISNUMBER(Datos!CC17),Datos!CC17," - ")</f>
        <v xml:space="preserve"> - </v>
      </c>
      <c r="AA17" s="332">
        <f>IF(ISNUMBER(Datos!L17),Datos!L17,"-")</f>
        <v>33</v>
      </c>
      <c r="AB17" s="334">
        <f>IF(ISNUMBER(Datos!R17),Datos!R17," - ")</f>
        <v>0</v>
      </c>
      <c r="AC17" s="334">
        <f t="shared" si="6"/>
        <v>33</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0.94736842105263153</v>
      </c>
      <c r="AM17" s="260">
        <f>IF(ISNUMBER(((NºAsuntos!I17/NºAsuntos!G17)*11)/factor_trimestre),((NºAsuntos!I17/NºAsuntos!G17)*11)/factor_trimestre," - ")</f>
        <v>10.083333333333332</v>
      </c>
      <c r="AN17" s="244">
        <f>IF(ISNUMBER('Resol  Asuntos'!D17/NºAsuntos!G17),'Resol  Asuntos'!D17/NºAsuntos!G17," - ")</f>
        <v>8.3333333333333329E-2</v>
      </c>
      <c r="AO17" s="245">
        <f>IF(ISNUMBER((NºAsuntos!C17+NºAsuntos!E17)/NºAsuntos!G17),(NºAsuntos!C17+NºAsuntos!E17)/NºAsuntos!G17," - ")</f>
        <v>1.9166666666666667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448</v>
      </c>
      <c r="G18" s="866">
        <f>SUBTOTAL(9,G15:G17)</f>
        <v>488</v>
      </c>
      <c r="H18" s="865">
        <f t="shared" ref="H18:O18" si="10">SUBTOTAL(9,H14:H17)</f>
        <v>0</v>
      </c>
      <c r="I18" s="867">
        <f t="shared" si="10"/>
        <v>0</v>
      </c>
      <c r="J18" s="867">
        <f t="shared" si="10"/>
        <v>0</v>
      </c>
      <c r="K18" s="867">
        <f t="shared" si="10"/>
        <v>0</v>
      </c>
      <c r="L18" s="867">
        <f t="shared" si="10"/>
        <v>13</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507</v>
      </c>
      <c r="X18" s="867">
        <f t="shared" si="11"/>
        <v>6</v>
      </c>
      <c r="Y18" s="868">
        <f t="shared" si="11"/>
        <v>513</v>
      </c>
      <c r="Z18" s="868">
        <f t="shared" si="11"/>
        <v>0</v>
      </c>
      <c r="AA18" s="868">
        <f t="shared" si="11"/>
        <v>511</v>
      </c>
      <c r="AB18" s="868">
        <f t="shared" si="11"/>
        <v>18</v>
      </c>
      <c r="AC18" s="868">
        <f t="shared" si="11"/>
        <v>529</v>
      </c>
      <c r="AD18" s="868">
        <f t="shared" si="11"/>
        <v>0</v>
      </c>
      <c r="AE18" s="872">
        <f t="shared" si="11"/>
        <v>0</v>
      </c>
      <c r="AF18" s="865">
        <f t="shared" si="11"/>
        <v>0</v>
      </c>
      <c r="AG18" s="873">
        <f t="shared" si="11"/>
        <v>0</v>
      </c>
      <c r="AH18" s="870">
        <f t="shared" si="11"/>
        <v>0</v>
      </c>
      <c r="AI18" s="865">
        <f t="shared" si="11"/>
        <v>68</v>
      </c>
      <c r="AJ18" s="867">
        <f t="shared" si="11"/>
        <v>0</v>
      </c>
      <c r="AK18" s="870">
        <f t="shared" si="11"/>
        <v>0</v>
      </c>
      <c r="AL18" s="874">
        <f>IF(ISNUMBER(NºAsuntos!G18/NºAsuntos!E18),NºAsuntos!G18/NºAsuntos!E18," - ")</f>
        <v>0.94063079777365488</v>
      </c>
      <c r="AM18" s="874">
        <f>IF(ISNUMBER(((NºAsuntos!I18/NºAsuntos!G18)*11)/factor_trimestre),((NºAsuntos!I18/NºAsuntos!G18)*11)/factor_trimestre," - ")</f>
        <v>11.086785009861934</v>
      </c>
      <c r="AN18" s="875">
        <f>IF(ISNUMBER('Resol  Asuntos'!D18/NºAsuntos!G18),'Resol  Asuntos'!D18/NºAsuntos!G18," - ")</f>
        <v>0.13412228796844181</v>
      </c>
      <c r="AO18" s="876">
        <f>IF(ISNUMBER((NºAsuntos!C18+NºAsuntos!E18)/NºAsuntos!G18),(NºAsuntos!C18+NºAsuntos!E18)/NºAsuntos!G18," - ")</f>
        <v>2.0256410256410255</v>
      </c>
      <c r="AP18" s="877" t="str">
        <f t="shared" si="2"/>
        <v xml:space="preserve"> - </v>
      </c>
      <c r="AQ18" s="877">
        <f>IF(ISNUMBER((H18-W18+K18)/(F18)),(H18-W18+K18)/(F18)," - ")</f>
        <v>-1.1316964285714286</v>
      </c>
      <c r="AR18" s="878">
        <f>IF(ISNUMBER((Datos!P18-Datos!Q18)/(Datos!R18-Datos!P18+Datos!Q18)),(Datos!P18-Datos!Q18)/(Datos!R18-Datos!P18+Datos!Q18)," - ")</f>
        <v>0.63636363636363635</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453</v>
      </c>
      <c r="G19" s="821">
        <f t="shared" si="13"/>
        <v>493</v>
      </c>
      <c r="H19" s="820">
        <f t="shared" si="13"/>
        <v>0</v>
      </c>
      <c r="I19" s="822">
        <f t="shared" si="13"/>
        <v>0</v>
      </c>
      <c r="J19" s="822">
        <f t="shared" si="13"/>
        <v>0</v>
      </c>
      <c r="K19" s="881">
        <f t="shared" si="13"/>
        <v>0</v>
      </c>
      <c r="L19" s="822">
        <f t="shared" si="13"/>
        <v>134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511</v>
      </c>
      <c r="X19" s="821">
        <f t="shared" si="14"/>
        <v>54</v>
      </c>
      <c r="Y19" s="828">
        <f t="shared" si="14"/>
        <v>565</v>
      </c>
      <c r="Z19" s="828">
        <f t="shared" si="14"/>
        <v>0</v>
      </c>
      <c r="AA19" s="828">
        <f t="shared" si="14"/>
        <v>520</v>
      </c>
      <c r="AB19" s="828">
        <f t="shared" si="14"/>
        <v>646</v>
      </c>
      <c r="AC19" s="828">
        <f t="shared" si="14"/>
        <v>538</v>
      </c>
      <c r="AD19" s="828">
        <f t="shared" si="14"/>
        <v>0</v>
      </c>
      <c r="AE19" s="830">
        <f t="shared" si="14"/>
        <v>0</v>
      </c>
      <c r="AF19" s="831">
        <f t="shared" si="14"/>
        <v>0</v>
      </c>
      <c r="AG19" s="832">
        <f t="shared" si="14"/>
        <v>0</v>
      </c>
      <c r="AH19" s="830">
        <f t="shared" si="14"/>
        <v>0</v>
      </c>
      <c r="AI19" s="820">
        <f t="shared" si="14"/>
        <v>174</v>
      </c>
      <c r="AJ19" s="820">
        <f t="shared" si="14"/>
        <v>0</v>
      </c>
      <c r="AK19" s="830">
        <f t="shared" si="14"/>
        <v>0</v>
      </c>
      <c r="AL19" s="884">
        <f>IF(ISNUMBER(NºAsuntos!G19/NºAsuntos!E19),NºAsuntos!G19/NºAsuntos!E19," - ")</f>
        <v>0.81113801452784506</v>
      </c>
      <c r="AM19" s="885">
        <f>IF(ISNUMBER(((NºAsuntos!I19/NºAsuntos!G19)*11)/factor_trimestre),((NºAsuntos!I19/NºAsuntos!G19)*11)/factor_trimestre," - ")</f>
        <v>12.718407960199006</v>
      </c>
      <c r="AN19" s="885">
        <f>IF(ISNUMBER('Resol  Asuntos'!D19/NºAsuntos!G19),'Resol  Asuntos'!D19/NºAsuntos!G19," - ")</f>
        <v>0.17313432835820897</v>
      </c>
      <c r="AO19" s="886">
        <f>IF(ISNUMBER((NºAsuntos!C19+NºAsuntos!E19)/NºAsuntos!G19),(NºAsuntos!C19+NºAsuntos!E19)/NºAsuntos!G19," - ")</f>
        <v>2.1651741293532338</v>
      </c>
      <c r="AP19" s="887" t="str">
        <f t="shared" si="2"/>
        <v xml:space="preserve"> - </v>
      </c>
      <c r="AQ19" s="888">
        <f>IF(OR(ISNUMBER(FIND("01",Criterios!A8,1)),ISNUMBER(FIND("02",Criterios!A8,1)),ISNUMBER(FIND("03",Criterios!A8,1)),ISNUMBER(FIND("04",Criterios!A8,1))),(I19-W19+K19)/(F19-K19),(H19-W19+K19)/(F19-K19))</f>
        <v>-1.1280353200883002</v>
      </c>
      <c r="AR19" s="889">
        <f>IF(ISNUMBER((Datos!P19-Datos!Q19)/(Datos!R19-Datos!P19+Datos!Q19)),(Datos!P19-Datos!Q19)/(Datos!R19-Datos!P19+Datos!Q19)," - ")</f>
        <v>0.14134275618374559</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197.2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255.76616925100421</v>
      </c>
      <c r="G21" s="253">
        <f>IF(ISNUMBER(STDEV(G8:G18)),STDEV(G8:G18),"-")</f>
        <v>251.77609100150872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260.44250805120123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46.324939287601879</v>
      </c>
      <c r="AJ21" s="252">
        <f t="shared" si="18"/>
        <v>0</v>
      </c>
      <c r="AK21" s="254">
        <f t="shared" si="18"/>
        <v>0</v>
      </c>
      <c r="AL21" s="249">
        <f t="shared" si="18"/>
        <v>0.18222469477406067</v>
      </c>
      <c r="AM21" s="250">
        <f t="shared" si="18"/>
        <v>5.4249669492120285</v>
      </c>
      <c r="AN21" s="250">
        <f t="shared" si="18"/>
        <v>0.1490198142819322</v>
      </c>
      <c r="AO21" s="251">
        <f t="shared" si="18"/>
        <v>0.48894967070595469</v>
      </c>
      <c r="AP21" s="291" t="str">
        <f t="shared" si="18"/>
        <v>-</v>
      </c>
      <c r="AQ21" s="292">
        <f t="shared" si="18"/>
        <v>0.23454479393821698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28 feb. 2025</v>
      </c>
      <c r="D30" s="120"/>
    </row>
    <row r="32" spans="1:65">
      <c r="C32" s="1"/>
      <c r="D32" s="1"/>
    </row>
  </sheetData>
  <sheetProtection algorithmName="SHA-512" hashValue="/Es4L/1yLg0/65UnMWzA1FPFpbqxxd1Pg4DHe0qYpjJbSSYlzEuEwA+70DC+OZtiaiiOvF4LUTZ9o1MyOOEx8g==" saltValue="9J56VPbXRkBj+ND/Sm89m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OURENSE</v>
      </c>
      <c r="E3" s="263"/>
    </row>
    <row r="4" spans="2:20" ht="17.25" customHeight="1" thickBot="1">
      <c r="D4" s="262" t="str">
        <f>Criterios!A11 &amp;"  "&amp;Criterios!B11</f>
        <v>Resumenes por Partidos Judiciales  RIBADAVIA</v>
      </c>
      <c r="E4" s="263"/>
    </row>
    <row r="5" spans="2:20" ht="12.75" customHeight="1">
      <c r="B5" s="272"/>
      <c r="C5" s="1266" t="str">
        <f>"Año:  " &amp;Criterios!B5 &amp; "          Trimestre   " &amp;Criterios!D5 &amp; " al " &amp;Criterios!D6</f>
        <v>Año:  2024          Trimestre   1 al 4</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0.33333333333333331</v>
      </c>
      <c r="F10" s="348">
        <f>IF(ISNUMBER((Datos!K10-Datos!U10)/Datos!U10),(Datos!K10-Datos!U10)/Datos!U10," - ")</f>
        <v>3</v>
      </c>
      <c r="G10" s="349">
        <f>IF(ISNUMBER((Datos!L10-Datos!V10)/Datos!V10),(Datos!L10-Datos!V10)/Datos!V10," - ")</f>
        <v>0.8</v>
      </c>
      <c r="H10" s="230" t="str">
        <f>IF(ISNUMBER((Datos!M10-Datos!W10)/Datos!W10),(Datos!M10-Datos!W10)/Datos!W10," - ")</f>
        <v xml:space="preserve"> - </v>
      </c>
      <c r="I10" s="350">
        <f>IF(ISNUMBER((Tasas!C10-Datos!BE10)/Datos!BE10),(Tasas!C10-Datos!BE10)/Datos!BE10," - ")</f>
        <v>-0.55000000000000004</v>
      </c>
      <c r="J10" s="349" t="str">
        <f>IF(ISNUMBER((Tasas!D10-Datos!BF10)/Datos!BF10),(Tasas!D10-Datos!BF10)/Datos!BF10," - ")</f>
        <v xml:space="preserve"> - </v>
      </c>
      <c r="K10" s="351">
        <f>IF(ISNUMBER((Tasas!E10-Datos!BG10)/Datos!BG10),(Tasas!E10-Datos!BG10)/Datos!BG10," - ")</f>
        <v>-0.45833333333333331</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0.55223880597014929</v>
      </c>
      <c r="I12" s="350">
        <f>IF(ISNUMBER((Tasas!C12-Datos!BE12)/Datos!BE12),(Tasas!C12-Datos!BE12)/Datos!BE12," - ")</f>
        <v>0.30837618995513727</v>
      </c>
      <c r="J12" s="349">
        <f>IF(ISNUMBER((Tasas!D12-Datos!BF12)/Datos!BF12),(Tasas!D12-Datos!BF12)/Datos!BF12," - ")</f>
        <v>-0.53642727508426236</v>
      </c>
      <c r="K12" s="351">
        <f>IF(ISNUMBER((Tasas!E12-Datos!BG12)/Datos!BG12),(Tasas!E12-Datos!BG12)/Datos!BG12," - ")</f>
        <v>0.15366894314262738</v>
      </c>
      <c r="M12" t="e">
        <f>IF(Monitorios="SI",Datos!CE12,0)</f>
        <v>#REF!</v>
      </c>
      <c r="N12" t="e">
        <f>IF(Monitorios="SI",Datos!CF12,0)</f>
        <v>#REF!</v>
      </c>
      <c r="O12" t="e">
        <f>IF(Monitorios="SI",Datos!CG12,0)</f>
        <v>#REF!</v>
      </c>
      <c r="P12" t="e">
        <f>IF(Monitorios="SI",Datos!CH12,0)</f>
        <v>#REF!</v>
      </c>
      <c r="Q12">
        <f>IF(J_V="SI",0,Datos!AG12)</f>
        <v>29</v>
      </c>
      <c r="R12">
        <f>IF(J_V="SI",0,Datos!AH12)</f>
        <v>88</v>
      </c>
      <c r="S12">
        <f>IF(J_V="SI",0,Datos!AI12)</f>
        <v>93</v>
      </c>
      <c r="T12">
        <f>IF(J_V="SI",0,Datos!AJ12)</f>
        <v>24</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0.58208955223880599</v>
      </c>
      <c r="I13" s="357">
        <f>IF(ISNUMBER((Tasas!C13-Datos!BE13)/Datos!BE13),(Tasas!C13-Datos!BE13)/Datos!BE13," - ")</f>
        <v>0.30431749268790093</v>
      </c>
      <c r="J13" s="355">
        <f>IF(ISNUMBER((Tasas!D13-Datos!BF13)/Datos!BF13),(Tasas!D13-Datos!BF13)/Datos!BF13," - ")</f>
        <v>-0.53025896690209107</v>
      </c>
      <c r="K13" s="358">
        <f>IF(ISNUMBER((Tasas!E13-Datos!BG13)/Datos!BG13),(Tasas!E13-Datos!BG13)/Datos!BG13," - ")</f>
        <v>0.15232837705336391</v>
      </c>
      <c r="M13" t="e">
        <f>IF(Monitorios="SI",Datos!CE13,0)</f>
        <v>#REF!</v>
      </c>
      <c r="N13" t="e">
        <f>IF(Monitorios="SI",Datos!CF13,0)</f>
        <v>#REF!</v>
      </c>
      <c r="O13" t="e">
        <f>IF(Monitorios="SI",Datos!CG13,0)</f>
        <v>#REF!</v>
      </c>
      <c r="P13" t="e">
        <f>IF(Monitorios="SI",Datos!CH13,0)</f>
        <v>#REF!</v>
      </c>
      <c r="Q13">
        <f>IF(J_V="SI",0,Datos!AG13)</f>
        <v>29</v>
      </c>
      <c r="R13">
        <f>IF(J_V="SI",0,Datos!AH13)</f>
        <v>88</v>
      </c>
      <c r="S13">
        <f>IF(J_V="SI",0,Datos!AI13)</f>
        <v>93</v>
      </c>
      <c r="T13">
        <f>IF(J_V="SI",0,Datos!AJ13)</f>
        <v>24</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0.5082508250825083</v>
      </c>
      <c r="E16" s="348">
        <f>IF(ISNUMBER(
   IF(D_I="SI",(Datos!J16-Datos!T16)/Datos!T16,(Datos!J16+Datos!AD16-(Datos!T16+Datos!AL16))/(Datos!T16+Datos!AL16))
     ),IF(D_I="SI",(Datos!J16-Datos!T16)/Datos!T16,(Datos!J16+Datos!AD16-(Datos!T16+Datos!AL16))/(Datos!T16+Datos!AL16))," - ")</f>
        <v>0</v>
      </c>
      <c r="F16" s="348">
        <f>IF(ISNUMBER(
   IF(D_I="SI",(Datos!K16-Datos!U16)/Datos!U16,(Datos!K16+Datos!AE16-(Datos!U16+Datos!AM16))/(Datos!U16+Datos!AM16))
     ),IF(D_I="SI",(Datos!K16-Datos!U16)/Datos!U16,(Datos!K16+Datos!AE16-(Datos!U16+Datos!AM16))/(Datos!U16+Datos!AM16))," - ")</f>
        <v>0.35734870317002881</v>
      </c>
      <c r="G16" s="349">
        <f>IF(ISNUMBER(
   IF(D_I="SI",(Datos!L16-Datos!V16)/Datos!V16,(Datos!L16+Datos!AF16-(Datos!V16+Datos!AN16))/(Datos!V16+Datos!AN16))
     ),IF(D_I="SI",(Datos!L16-Datos!V16)/Datos!V16,(Datos!L16+Datos!AF16-(Datos!V16+Datos!AN16))/(Datos!V16+Datos!AN16))," - ")</f>
        <v>4.5951859956236324E-2</v>
      </c>
      <c r="H16" s="230">
        <f>IF(ISNUMBER((Datos!M16-Datos!W16)/Datos!W16),(Datos!M16-Datos!W16)/Datos!W16," - ")</f>
        <v>0.54761904761904767</v>
      </c>
      <c r="I16" s="350">
        <f>IF(ISNUMBER((Tasas!C16-Datos!BE16)/Datos!BE16),(Tasas!C16-Datos!BE16)/Datos!BE16," - ")</f>
        <v>-0.22941550869466243</v>
      </c>
      <c r="J16" s="349">
        <f>IF(ISNUMBER((Tasas!D16-Datos!BF16)/Datos!BF16),(Tasas!D16-Datos!BF16)/Datos!BF16," - ")</f>
        <v>0.14017793954099683</v>
      </c>
      <c r="K16" s="351">
        <f>IF(ISNUMBER((Tasas!E16-Datos!BG16)/Datos!BG16),(Tasas!E16-Datos!BG16)/Datos!BG16," - ")</f>
        <v>-0.12215461968290175</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0.9375</v>
      </c>
      <c r="E17" s="348">
        <f>IF(ISNUMBER(
   IF(D_I="SI",(Datos!J17-Datos!T17)/Datos!T17,(Datos!J17+Datos!AD17-(Datos!T17+Datos!AL17))/(Datos!T17+Datos!AL17))
     ),IF(D_I="SI",(Datos!J17-Datos!T17)/Datos!T17,(Datos!J17+Datos!AD17-(Datos!T17+Datos!AL17))/(Datos!T17+Datos!AL17))," - ")</f>
        <v>0.11764705882352941</v>
      </c>
      <c r="F17" s="348">
        <f>IF(ISNUMBER(
   IF(D_I="SI",(Datos!K17-Datos!U17)/Datos!U17,(Datos!K17+Datos!AE17-(Datos!U17+Datos!AM17))/(Datos!U17+Datos!AM17))
     ),IF(D_I="SI",(Datos!K17-Datos!U17)/Datos!U17,(Datos!K17+Datos!AE17-(Datos!U17+Datos!AM17))/(Datos!U17+Datos!AM17))," - ")</f>
        <v>0.89473684210526316</v>
      </c>
      <c r="G17" s="349">
        <f>IF(ISNUMBER(
   IF(D_I="SI",(Datos!L17-Datos!V17)/Datos!V17,(Datos!L17+Datos!AF17-(Datos!V17+Datos!AN17))/(Datos!V17+Datos!AN17))
     ),IF(D_I="SI",(Datos!L17-Datos!V17)/Datos!V17,(Datos!L17+Datos!AF17-(Datos!V17+Datos!AN17))/(Datos!V17+Datos!AN17))," - ")</f>
        <v>6.4516129032258063E-2</v>
      </c>
      <c r="H17" s="230" t="str">
        <f>IF(ISNUMBER((Datos!M17-Datos!W17)/Datos!W17),(Datos!M17-Datos!W17)/Datos!W17," - ")</f>
        <v xml:space="preserve"> - </v>
      </c>
      <c r="I17" s="350">
        <f>IF(ISNUMBER((Tasas!C17-Datos!BE17)/Datos!BE17),(Tasas!C17-Datos!BE17)/Datos!BE17," - ")</f>
        <v>-0.43817204301075269</v>
      </c>
      <c r="J17" s="349" t="str">
        <f>IF(ISNUMBER((Tasas!D17-Datos!BF17)/Datos!BF17),(Tasas!D17-Datos!BF17)/Datos!BF17," - ")</f>
        <v xml:space="preserve"> - </v>
      </c>
      <c r="K17" s="351">
        <f>IF(ISNUMBER((Tasas!E17-Datos!BG17)/Datos!BG17),(Tasas!E17-Datos!BG17)/Datos!BG17," - ")</f>
        <v>-0.27166666666666667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0.52978056426332287</v>
      </c>
      <c r="E18" s="354">
        <f>IF(ISNUMBER(
   IF(D_I="SI",(Datos!J18-Datos!T18)/Datos!T18,(Datos!J18+Datos!AD18-(Datos!T18+Datos!AL18))/(Datos!T18+Datos!AL18))
     ),IF(D_I="SI",(Datos!J18-Datos!T18)/Datos!T18,(Datos!J18+Datos!AD18-(Datos!T18+Datos!AL18))/(Datos!T18+Datos!AL18))," - ")</f>
        <v>7.4766355140186919E-3</v>
      </c>
      <c r="F18" s="354">
        <f>IF(ISNUMBER(
   IF(D_I="SI",(Datos!K18-Datos!U18)/Datos!U18,(Datos!K18+Datos!AE18-(Datos!U18+Datos!AM18))/(Datos!U18+Datos!AM18))
     ),IF(D_I="SI",(Datos!K18-Datos!U18)/Datos!U18,(Datos!K18+Datos!AE18-(Datos!U18+Datos!AM18))/(Datos!U18+Datos!AM18))," - ")</f>
        <v>0.38524590163934425</v>
      </c>
      <c r="G18" s="355">
        <f>IF(ISNUMBER(
   IF(D_I="SI",(Datos!L18-Datos!V18)/Datos!V18,(Datos!L18+Datos!AF18-(Datos!V18+Datos!AN18))/(Datos!V18+Datos!AN18))
     ),IF(D_I="SI",(Datos!L18-Datos!V18)/Datos!V18,(Datos!L18+Datos!AF18-(Datos!V18+Datos!AN18))/(Datos!V18+Datos!AN18))," - ")</f>
        <v>4.7131147540983603E-2</v>
      </c>
      <c r="H18" s="356">
        <f>IF(ISNUMBER((Datos!M18-Datos!W18)/Datos!W18),(Datos!M18-Datos!W18)/Datos!W18," - ")</f>
        <v>0.61904761904761907</v>
      </c>
      <c r="I18" s="357">
        <f>IF(ISNUMBER((Tasas!C18-Datos!BE18)/Datos!BE18),(Tasas!C18-Datos!BE18)/Datos!BE18," - ")</f>
        <v>-0.2440828402366863</v>
      </c>
      <c r="J18" s="355">
        <f>IF(ISNUMBER((Tasas!D18-Datos!BF18)/Datos!BF18),(Tasas!D18-Datos!BF18)/Datos!BF18," - ")</f>
        <v>0.16877993801070715</v>
      </c>
      <c r="K18" s="358">
        <f>IF(ISNUMBER((Tasas!E18-Datos!BG18)/Datos!BG18),(Tasas!E18-Datos!BG18)/Datos!BG18," - ")</f>
        <v>-0.13186813186813195</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0.52605863192182412</v>
      </c>
      <c r="E19" s="363">
        <f>IF(ISNUMBER(
   IF(J_V="SI",(Datos!J19-Datos!T19)/Datos!T19,(Datos!J19+Datos!Z19-(Datos!T19+Datos!AH19))/(Datos!T19+Datos!AH19))
     ),IF(J_V="SI",(Datos!J19-Datos!T19)/Datos!T19,(Datos!J19+Datos!Z19-(Datos!T19+Datos!AH19))/(Datos!T19+Datos!AH19))," - ")</f>
        <v>8.9709762532981532E-2</v>
      </c>
      <c r="F19" s="363">
        <f>IF(ISNUMBER(
   IF(J_V="SI",(Datos!K19-Datos!U19)/Datos!U19,(Datos!K19+Datos!AA19-(Datos!U19+Datos!AI19))/(Datos!U19+Datos!AI19))
     ),IF(J_V="SI",(Datos!K19-Datos!U19)/Datos!U19,(Datos!K19+Datos!AA19-(Datos!U19+Datos!AI19))/(Datos!U19+Datos!AI19))," - ")</f>
        <v>0.23464373464373464</v>
      </c>
      <c r="G19" s="364">
        <f>IF(ISNUMBER(
   IF(J_V="SI",(Datos!L19-Datos!V19)/Datos!V19,(Datos!L19+Datos!AB19-(Datos!V19+Datos!AJ19))/(Datos!V19+Datos!AJ19))
     ),IF(J_V="SI",(Datos!L19-Datos!V19)/Datos!V19,(Datos!L19+Datos!AB19-(Datos!V19+Datos!AJ19))/(Datos!V19+Datos!AJ19))," - ")</f>
        <v>0.24012806830309499</v>
      </c>
      <c r="H19" s="365">
        <f>IF(ISNUMBER((Datos!M19-Datos!W19)/Datos!W19),(Datos!M19-Datos!W19)/Datos!W19," - ")</f>
        <v>0.59633027522935778</v>
      </c>
      <c r="I19" s="362">
        <f>IF(ISNUMBER((Tasas!C19-Datos!BE19)/Datos!BE19),(Tasas!C19-Datos!BE19)/Datos!BE19," - ")</f>
        <v>4.4420374116611273E-3</v>
      </c>
      <c r="J19" s="363">
        <f>IF(ISNUMBER((Tasas!D19-Datos!BF19)/Datos!BF19),(Tasas!D19-Datos!BF19)/Datos!BF19," - ")</f>
        <v>-0.42477002741395065</v>
      </c>
      <c r="K19" s="364">
        <f>IF(ISNUMBER((Tasas!E19-Datos!BG19)/Datos!BG19),(Tasas!E19-Datos!BG19)/Datos!BG19," - ")</f>
        <v>6.5401149591847122E-3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0.24185171838476249</v>
      </c>
      <c r="E21" s="278">
        <f t="shared" si="1"/>
        <v>0.15541571143693159</v>
      </c>
      <c r="F21" s="278">
        <f t="shared" si="1"/>
        <v>1.2517262453470492</v>
      </c>
      <c r="G21" s="279">
        <f t="shared" si="1"/>
        <v>0.37382982886012645</v>
      </c>
      <c r="H21" s="285">
        <f t="shared" si="1"/>
        <v>3.2954491262131208E-2</v>
      </c>
      <c r="I21" s="277">
        <f t="shared" si="1"/>
        <v>0.36722765415172881</v>
      </c>
      <c r="J21" s="278">
        <f t="shared" si="1"/>
        <v>0.3972938656611984</v>
      </c>
      <c r="K21" s="279">
        <f t="shared" si="1"/>
        <v>0.23932467841104044</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28 feb.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Kl5XZvs1PPiuyy+j3kbeQSw9KsPqwjY5m+iL8U0GFiJ9DAw9Egb9LCok/rTpHC7rXZ5dOUy8HiP2v7wgIsqw==" saltValue="Y6WbPM3p3FqJ3pVylNmGo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1 al 4</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v>
      </c>
      <c r="D10" s="225">
        <f>IF(ISNUMBER(Datos!I10),Datos!I10," - ")</f>
        <v>5</v>
      </c>
      <c r="E10" s="226">
        <f>IF(ISNUMBER(Datos!J10),Datos!J10," - ")</f>
        <v>8</v>
      </c>
      <c r="F10" s="226">
        <f>IF(ISNUMBER(Datos!K10),Datos!K10," - ")</f>
        <v>4</v>
      </c>
      <c r="G10" s="1034" t="str">
        <f>IF(Datos!E10&lt;&gt;"",Datos!E10,Datos!D10)</f>
        <v>37</v>
      </c>
      <c r="H10" s="227">
        <f>IF(ISNUMBER(Datos!L10),Datos!L10," - ")</f>
        <v>9</v>
      </c>
      <c r="I10" s="1044" t="str">
        <f>IF(ISNUMBER(Datos!AS10/Datos!BM10),Datos!AS10/Datos!BM10," - ")</f>
        <v xml:space="preserve"> - </v>
      </c>
      <c r="J10" s="1045">
        <f>IF(ISNUMBER(Datos!BY10/Datos!CN10),Datos!BY10/Datos!CN10," - ")</f>
        <v>0</v>
      </c>
      <c r="K10" s="230">
        <f t="shared" ref="K10:K12" si="1">IF(ISNUMBER((E10-F10)/C10),(E10-F10)/C10," - ")</f>
        <v>0.8</v>
      </c>
      <c r="L10" s="1025">
        <f>IF(ISNUMBER(NºAsuntos!I10/NºAsuntos!G10),(NºAsuntos!I10/NºAsuntos!G10)*11," - ")</f>
        <v>24.75</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14.295546558704453</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v>
      </c>
      <c r="D13" s="1049">
        <f>SUBTOTAL(9,D9:D12)</f>
        <v>5</v>
      </c>
      <c r="E13" s="1050">
        <f>SUBTOTAL(9,E9:E12)</f>
        <v>8</v>
      </c>
      <c r="F13" s="1051">
        <f>SUBTOTAL(9,F9:F12)</f>
        <v>4</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448</v>
      </c>
      <c r="D16" s="225">
        <f>IF(ISNUMBER(IF(D_I="SI",Datos!I16,Datos!I16+Datos!AC16)),IF(D_I="SI",Datos!I16,Datos!I16+Datos!AC16)," - ")</f>
        <v>457</v>
      </c>
      <c r="E16" s="226">
        <f>IF(ISNUMBER(IF(D_I="SI",Datos!J16,Datos!J16+Datos!AD16)),IF(D_I="SI",Datos!J16,Datos!J16+Datos!AD16)," - ")</f>
        <v>501</v>
      </c>
      <c r="F16" s="226">
        <f>IF(ISNUMBER(IF(D_I="SI",Datos!K16,Datos!K16+Datos!AE16)),IF(D_I="SI",Datos!K16,Datos!K16+Datos!AE16)," - ")</f>
        <v>471</v>
      </c>
      <c r="G16" s="1034" t="str">
        <f>IF(Datos!E16&lt;&gt;"",Datos!E16,Datos!D16)</f>
        <v>04</v>
      </c>
      <c r="H16" s="227">
        <f>IF(ISNUMBER(IF(D_I="SI",Datos!L16,Datos!L16+Datos!AF16)),IF(D_I="SI",Datos!L16,Datos!L16+Datos!AF16)," - ")</f>
        <v>478</v>
      </c>
      <c r="I16" s="1044" t="str">
        <f>IF(ISNUMBER(Datos!AS16/Datos!BM16),Datos!AS16/Datos!BM16," - ")</f>
        <v xml:space="preserve"> - </v>
      </c>
      <c r="J16" s="1045">
        <f>IF(ISNUMBER(Datos!BY16/Datos!CN16),Datos!BY16/Datos!CN16," - ")</f>
        <v>0</v>
      </c>
      <c r="K16" s="230">
        <f t="shared" si="3"/>
        <v>6.6964285714285712E-2</v>
      </c>
      <c r="L16" s="1025">
        <f>IF(ISNUMBER(NºAsuntos!I16/NºAsuntos!G16),(NºAsuntos!I16/NºAsuntos!G16)*11," - ")</f>
        <v>11.163481953290871</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31</v>
      </c>
      <c r="D17" s="225">
        <f>IF(ISNUMBER(IF(D_I="SI",Datos!I17,Datos!I17+Datos!AC17)),IF(D_I="SI",Datos!I17,Datos!I17+Datos!AC17)," - ")</f>
        <v>31</v>
      </c>
      <c r="E17" s="226">
        <f>IF(ISNUMBER(IF(D_I="SI",Datos!J17,Datos!J17+Datos!AD17)),IF(D_I="SI",Datos!J17,Datos!J17+Datos!AD17)," - ")</f>
        <v>38</v>
      </c>
      <c r="F17" s="226">
        <f>IF(ISNUMBER(IF(D_I="SI",Datos!K17,Datos!K17+Datos!AE17)),IF(D_I="SI",Datos!K17,Datos!K17+Datos!AE17)," - ")</f>
        <v>36</v>
      </c>
      <c r="G17" s="1034" t="str">
        <f>IF(Datos!E17&lt;&gt;"",Datos!E17,Datos!D17)</f>
        <v>37</v>
      </c>
      <c r="H17" s="227">
        <f>IF(ISNUMBER(IF(D_I="SI",Datos!L17,Datos!L17+Datos!AF17)),IF(D_I="SI",Datos!L17,Datos!L17+Datos!AF17)," - ")</f>
        <v>33</v>
      </c>
      <c r="I17" s="1044" t="str">
        <f>IF(ISNUMBER(Datos!AS17/Datos!BM17),Datos!AS17/Datos!BM17," - ")</f>
        <v xml:space="preserve"> - </v>
      </c>
      <c r="J17" s="1045" t="str">
        <f>IF(ISNUMBER((Datos!BY17+Datos!BZ17)/Datos!CN17),(Datos!BY17+Datos!BZ17)/Datos!CN17," - ")</f>
        <v xml:space="preserve"> - </v>
      </c>
      <c r="K17" s="230">
        <f t="shared" si="3"/>
        <v>6.4516129032258063E-2</v>
      </c>
      <c r="L17" s="1025">
        <f>IF(ISNUMBER(NºAsuntos!I17/NºAsuntos!G17),(NºAsuntos!I17/NºAsuntos!G17)*11," - ")</f>
        <v>10.083333333333332</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479</v>
      </c>
      <c r="D18" s="1049">
        <f>SUBTOTAL(9,D15:D17)</f>
        <v>488</v>
      </c>
      <c r="E18" s="1050">
        <f>SUBTOTAL(9,E15:E17)</f>
        <v>539</v>
      </c>
      <c r="F18" s="1050">
        <f>SUBTOTAL(9,F15:F17)</f>
        <v>507</v>
      </c>
      <c r="G18" s="1052" t="str">
        <f ca="1">INDIRECT(CONCATENATE("G",ROW()-1))</f>
        <v>37</v>
      </c>
      <c r="H18" s="1053">
        <f ca="1">SUMIF(G$14:G17,G18,H$14:H17)</f>
        <v>33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484</v>
      </c>
      <c r="D19" s="1071">
        <f>SUBTOTAL(9,D9:D18)</f>
        <v>493</v>
      </c>
      <c r="E19" s="1072">
        <f>SUBTOTAL(9,E9:E18)</f>
        <v>547</v>
      </c>
      <c r="F19" s="1072">
        <f>SUBTOTAL(9,F9:F18)</f>
        <v>511</v>
      </c>
      <c r="G19" s="1073"/>
      <c r="H19" s="1074">
        <f ca="1">SUMIF(B9:B18,"TOTAL",H9:H18)</f>
        <v>33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28 feb.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9cqMHnOf8dzXX9qp/gmWCaniQIT4+HoH/oOoLMtvas5MxJ/+0pwBWBTK9S7t3oo6nWp/hpThVEJXEz0f9OR6oQ==" saltValue="Sr8bDyztrw6Ki1aIqLvfG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RTxtiJvUqcYeJlhWhIZWmgU9TQ0URRQZq3rDnG4uABP93SDMMtBec3nt95drRPsQaAczS+KDrXP6FILjC8qI5g==" saltValue="0It51DCKkCpmXVLGRkffq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v>
      </c>
      <c r="J10" s="181">
        <v>8</v>
      </c>
      <c r="K10" s="181">
        <v>4</v>
      </c>
      <c r="L10" s="181">
        <v>9</v>
      </c>
      <c r="M10" s="181">
        <v>2</v>
      </c>
      <c r="N10" s="181">
        <v>2</v>
      </c>
      <c r="O10" s="181">
        <v>0</v>
      </c>
      <c r="P10" s="181">
        <v>0</v>
      </c>
      <c r="Q10" s="181">
        <v>0</v>
      </c>
      <c r="R10" s="181">
        <v>0</v>
      </c>
      <c r="S10" s="181">
        <v>0</v>
      </c>
      <c r="T10" s="181">
        <v>6</v>
      </c>
      <c r="U10" s="181">
        <v>1</v>
      </c>
      <c r="V10" s="181">
        <v>5</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6</v>
      </c>
      <c r="BA10" s="129">
        <f t="shared" si="0"/>
        <v>1</v>
      </c>
      <c r="BB10" s="129">
        <f t="shared" si="0"/>
        <v>5</v>
      </c>
      <c r="BC10" s="125">
        <f t="shared" si="0"/>
        <v>0</v>
      </c>
      <c r="BD10" s="126">
        <f>IF(ISNUMBER(BA10/AZ10),BA10/AZ10," - ")</f>
        <v>0.16666666666666666</v>
      </c>
      <c r="BE10" s="127">
        <f>IF(ISNUMBER(BB10/BA10),BB10/BA10, " - ")</f>
        <v>5</v>
      </c>
      <c r="BF10" s="127">
        <f>IF(ISNUMBER(BC10/BA10),BC10/BA10, " - ")</f>
        <v>0</v>
      </c>
      <c r="BG10" s="196">
        <f>IF(ISNUMBER((AY10+AZ10)/BA10),(AY10+AZ10)/BA10," - ")</f>
        <v>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420</v>
      </c>
      <c r="J12" s="183">
        <v>598</v>
      </c>
      <c r="K12" s="183">
        <v>391</v>
      </c>
      <c r="L12" s="183">
        <v>627</v>
      </c>
      <c r="M12" s="183">
        <v>104</v>
      </c>
      <c r="N12" s="183">
        <v>248</v>
      </c>
      <c r="O12" s="181">
        <v>200</v>
      </c>
      <c r="P12" s="183">
        <v>121</v>
      </c>
      <c r="Q12" s="183">
        <v>48</v>
      </c>
      <c r="R12" s="183">
        <v>628</v>
      </c>
      <c r="S12" s="183">
        <v>266</v>
      </c>
      <c r="T12" s="183">
        <v>508</v>
      </c>
      <c r="U12" s="183">
        <v>354</v>
      </c>
      <c r="V12" s="183">
        <v>420</v>
      </c>
      <c r="W12" s="183">
        <v>67</v>
      </c>
      <c r="X12" s="189">
        <v>203</v>
      </c>
      <c r="Y12" s="191">
        <v>24</v>
      </c>
      <c r="Z12" s="181">
        <v>94</v>
      </c>
      <c r="AA12" s="181">
        <v>103</v>
      </c>
      <c r="AB12" s="181">
        <v>15</v>
      </c>
      <c r="AC12" s="183">
        <v>0</v>
      </c>
      <c r="AD12" s="183">
        <v>0</v>
      </c>
      <c r="AE12" s="183">
        <v>0</v>
      </c>
      <c r="AF12" s="189">
        <v>0</v>
      </c>
      <c r="AG12" s="202">
        <v>29</v>
      </c>
      <c r="AH12" s="183">
        <v>88</v>
      </c>
      <c r="AI12" s="183">
        <v>93</v>
      </c>
      <c r="AJ12" s="203">
        <v>24</v>
      </c>
      <c r="AK12" s="182">
        <v>0</v>
      </c>
      <c r="AL12" s="183">
        <v>0</v>
      </c>
      <c r="AM12" s="183">
        <v>0</v>
      </c>
      <c r="AN12" s="189">
        <v>0</v>
      </c>
      <c r="AO12" s="259">
        <v>1</v>
      </c>
      <c r="AP12" s="155">
        <v>1</v>
      </c>
      <c r="AQ12" s="155">
        <v>1</v>
      </c>
      <c r="AR12" s="154">
        <v>1</v>
      </c>
      <c r="AS12" s="340" t="s">
        <v>802</v>
      </c>
      <c r="AT12" s="203"/>
      <c r="AU12" s="202"/>
      <c r="AV12" s="203"/>
      <c r="AW12" s="202"/>
      <c r="AX12" s="203"/>
      <c r="AY12" s="126">
        <f t="shared" si="1"/>
        <v>295</v>
      </c>
      <c r="AZ12" s="127">
        <f t="shared" si="1"/>
        <v>596</v>
      </c>
      <c r="BA12" s="127">
        <f t="shared" si="1"/>
        <v>447</v>
      </c>
      <c r="BB12" s="127">
        <f t="shared" si="1"/>
        <v>444</v>
      </c>
      <c r="BC12" s="125">
        <f>IF(ISNUMBER(X12),X12," - ")</f>
        <v>203</v>
      </c>
      <c r="BD12" s="126">
        <f t="shared" si="2"/>
        <v>0.75</v>
      </c>
      <c r="BE12" s="127">
        <f t="shared" si="3"/>
        <v>0.99328859060402686</v>
      </c>
      <c r="BF12" s="127">
        <f t="shared" si="4"/>
        <v>0.45413870246085009</v>
      </c>
      <c r="BG12" s="196">
        <f t="shared" si="5"/>
        <v>1.9932885906040267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425</v>
      </c>
      <c r="J13" s="184">
        <f t="shared" si="6"/>
        <v>606</v>
      </c>
      <c r="K13" s="184">
        <f t="shared" si="6"/>
        <v>395</v>
      </c>
      <c r="L13" s="184">
        <f t="shared" si="6"/>
        <v>636</v>
      </c>
      <c r="M13" s="184">
        <f t="shared" si="6"/>
        <v>106</v>
      </c>
      <c r="N13" s="184">
        <f t="shared" si="6"/>
        <v>250</v>
      </c>
      <c r="O13" s="184">
        <f t="shared" si="6"/>
        <v>200</v>
      </c>
      <c r="P13" s="184">
        <f t="shared" si="6"/>
        <v>121</v>
      </c>
      <c r="Q13" s="184">
        <f t="shared" si="6"/>
        <v>48</v>
      </c>
      <c r="R13" s="184">
        <f t="shared" si="6"/>
        <v>628</v>
      </c>
      <c r="S13" s="184">
        <f t="shared" si="6"/>
        <v>266</v>
      </c>
      <c r="T13" s="184">
        <f t="shared" si="6"/>
        <v>514</v>
      </c>
      <c r="U13" s="184">
        <f t="shared" si="6"/>
        <v>355</v>
      </c>
      <c r="V13" s="184">
        <f t="shared" si="6"/>
        <v>425</v>
      </c>
      <c r="W13" s="184">
        <f t="shared" si="6"/>
        <v>67</v>
      </c>
      <c r="X13" s="184">
        <f t="shared" si="6"/>
        <v>203</v>
      </c>
      <c r="Y13" s="184">
        <f t="shared" si="6"/>
        <v>24</v>
      </c>
      <c r="Z13" s="184">
        <f t="shared" si="6"/>
        <v>94</v>
      </c>
      <c r="AA13" s="184">
        <f t="shared" si="6"/>
        <v>103</v>
      </c>
      <c r="AB13" s="184">
        <f t="shared" si="6"/>
        <v>15</v>
      </c>
      <c r="AC13" s="184">
        <f t="shared" si="6"/>
        <v>0</v>
      </c>
      <c r="AD13" s="184">
        <f t="shared" si="6"/>
        <v>0</v>
      </c>
      <c r="AE13" s="184">
        <f t="shared" si="6"/>
        <v>0</v>
      </c>
      <c r="AF13" s="184">
        <f>SUBTOTAL(9,AF9:AF12)</f>
        <v>0</v>
      </c>
      <c r="AG13" s="184">
        <f t="shared" ref="AG13:AT13" si="7">SUBTOTAL(9,AG8:AG12)</f>
        <v>29</v>
      </c>
      <c r="AH13" s="184">
        <f t="shared" si="7"/>
        <v>88</v>
      </c>
      <c r="AI13" s="184">
        <f t="shared" si="7"/>
        <v>93</v>
      </c>
      <c r="AJ13" s="184">
        <f t="shared" si="7"/>
        <v>24</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295</v>
      </c>
      <c r="AZ13" s="184">
        <f>SUBTOTAL(9,AZ8:AZ12)</f>
        <v>602</v>
      </c>
      <c r="BA13" s="184">
        <f>SUBTOTAL(9,BA8:BA12)</f>
        <v>448</v>
      </c>
      <c r="BB13" s="184">
        <f>SUBTOTAL(9,BB8:BB12)</f>
        <v>449</v>
      </c>
      <c r="BC13" s="184">
        <f>SUBTOTAL(9,BC8:BC12)</f>
        <v>203</v>
      </c>
      <c r="BD13" s="205">
        <f>IF(ISNUMBER(BA13/AZ13),BA13/AZ13," - ")</f>
        <v>0.7441860465116279</v>
      </c>
      <c r="BE13" s="206">
        <f>IF(ISNUMBER(BB13/BA13),BB13/BA13, " - ")</f>
        <v>1.0022321428571428</v>
      </c>
      <c r="BF13" s="206">
        <f>IF(ISNUMBER(BC13/BA13),BC13/BA13, " - ")</f>
        <v>0.453125</v>
      </c>
      <c r="BG13" s="207">
        <f>IF(ISNUMBER((AY13+AZ13)/BA13),(AY13+AZ13)/BA13," - ")</f>
        <v>2.0022321428571428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457</v>
      </c>
      <c r="J16" s="183">
        <v>501</v>
      </c>
      <c r="K16" s="183">
        <v>471</v>
      </c>
      <c r="L16" s="183">
        <v>478</v>
      </c>
      <c r="M16" s="183">
        <v>65</v>
      </c>
      <c r="N16" s="183">
        <v>216</v>
      </c>
      <c r="O16" s="181">
        <v>0</v>
      </c>
      <c r="P16" s="183">
        <v>13</v>
      </c>
      <c r="Q16" s="183">
        <v>6</v>
      </c>
      <c r="R16" s="183">
        <v>18</v>
      </c>
      <c r="S16" s="183">
        <v>303</v>
      </c>
      <c r="T16" s="183">
        <v>501</v>
      </c>
      <c r="U16" s="183">
        <v>347</v>
      </c>
      <c r="V16" s="183">
        <v>457</v>
      </c>
      <c r="W16" s="183">
        <v>42</v>
      </c>
      <c r="X16" s="189">
        <v>154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303</v>
      </c>
      <c r="AZ16" s="127">
        <f t="shared" si="9"/>
        <v>501</v>
      </c>
      <c r="BA16" s="127">
        <f t="shared" si="9"/>
        <v>347</v>
      </c>
      <c r="BB16" s="127">
        <f t="shared" si="9"/>
        <v>457</v>
      </c>
      <c r="BC16" s="125">
        <f>IF(ISNUMBER(W16),W16," - ")</f>
        <v>42</v>
      </c>
      <c r="BD16" s="126">
        <f t="shared" ref="BD16" si="11">IF(ISNUMBER(BA16/AZ16),BA16/AZ16," - ")</f>
        <v>0.69261477045908182</v>
      </c>
      <c r="BE16" s="127">
        <f t="shared" ref="BE16" si="12">IF(ISNUMBER(BB16/BA16),BB16/BA16, " - ")</f>
        <v>1.3170028818443804</v>
      </c>
      <c r="BF16" s="127">
        <f t="shared" ref="BF16" si="13">IF(ISNUMBER(BC16/BA16),BC16/BA16, " - ")</f>
        <v>0.12103746397694524</v>
      </c>
      <c r="BG16" s="196">
        <f t="shared" si="10"/>
        <v>2.3170028818443802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31</v>
      </c>
      <c r="J17" s="183">
        <v>38</v>
      </c>
      <c r="K17" s="183">
        <v>36</v>
      </c>
      <c r="L17" s="183">
        <v>33</v>
      </c>
      <c r="M17" s="183">
        <v>3</v>
      </c>
      <c r="N17" s="183">
        <v>25</v>
      </c>
      <c r="O17" s="183">
        <v>0</v>
      </c>
      <c r="P17" s="183">
        <v>0</v>
      </c>
      <c r="Q17" s="183">
        <v>0</v>
      </c>
      <c r="R17" s="183">
        <v>0</v>
      </c>
      <c r="S17" s="183">
        <v>16</v>
      </c>
      <c r="T17" s="183">
        <v>34</v>
      </c>
      <c r="U17" s="183">
        <v>19</v>
      </c>
      <c r="V17" s="183">
        <v>31</v>
      </c>
      <c r="W17" s="183">
        <v>0</v>
      </c>
      <c r="X17" s="189">
        <v>23</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16</v>
      </c>
      <c r="AZ17" s="129">
        <f t="shared" si="14"/>
        <v>34</v>
      </c>
      <c r="BA17" s="129">
        <f t="shared" si="14"/>
        <v>19</v>
      </c>
      <c r="BB17" s="129">
        <f t="shared" si="14"/>
        <v>31</v>
      </c>
      <c r="BC17" s="125">
        <f>IF(ISNUMBER(W17),W17," - ")</f>
        <v>0</v>
      </c>
      <c r="BD17" s="126">
        <f>IF(ISNUMBER(BA17/AZ17),BA17/AZ17," - ")</f>
        <v>0.55882352941176472</v>
      </c>
      <c r="BE17" s="127">
        <f>IF(ISNUMBER(BB17/BA17),BB17/BA17, " - ")</f>
        <v>1.631578947368421</v>
      </c>
      <c r="BF17" s="127">
        <f>IF(ISNUMBER(BC17/BA17),BC17/BA17, " - ")</f>
        <v>0</v>
      </c>
      <c r="BG17" s="196">
        <f>IF(ISNUMBER((AY17+AZ17)/BA17),(AY17+AZ17)/BA17," - ")</f>
        <v>2.6315789473684212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488</v>
      </c>
      <c r="J18" s="184">
        <f t="shared" si="15"/>
        <v>539</v>
      </c>
      <c r="K18" s="184">
        <f t="shared" si="15"/>
        <v>507</v>
      </c>
      <c r="L18" s="184">
        <f t="shared" si="15"/>
        <v>511</v>
      </c>
      <c r="M18" s="184">
        <f t="shared" si="15"/>
        <v>68</v>
      </c>
      <c r="N18" s="184">
        <f t="shared" si="15"/>
        <v>241</v>
      </c>
      <c r="O18" s="184">
        <f t="shared" si="15"/>
        <v>0</v>
      </c>
      <c r="P18" s="184">
        <f t="shared" si="15"/>
        <v>13</v>
      </c>
      <c r="Q18" s="184">
        <f t="shared" si="15"/>
        <v>6</v>
      </c>
      <c r="R18" s="184">
        <f t="shared" si="15"/>
        <v>18</v>
      </c>
      <c r="S18" s="184">
        <f t="shared" si="15"/>
        <v>319</v>
      </c>
      <c r="T18" s="184">
        <f t="shared" si="15"/>
        <v>535</v>
      </c>
      <c r="U18" s="184">
        <f t="shared" si="15"/>
        <v>366</v>
      </c>
      <c r="V18" s="184">
        <f t="shared" si="15"/>
        <v>488</v>
      </c>
      <c r="W18" s="184">
        <f t="shared" si="15"/>
        <v>42</v>
      </c>
      <c r="X18" s="184">
        <f t="shared" si="15"/>
        <v>177</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319</v>
      </c>
      <c r="AZ18" s="184">
        <f>SUBTOTAL(9,AZ14:AZ17)</f>
        <v>535</v>
      </c>
      <c r="BA18" s="184">
        <f>SUBTOTAL(9,BA14:BA17)</f>
        <v>366</v>
      </c>
      <c r="BB18" s="184">
        <f>SUBTOTAL(9,BB14:BB17)</f>
        <v>488</v>
      </c>
      <c r="BC18" s="184">
        <f>SUBTOTAL(9,BC14:BC17)</f>
        <v>42</v>
      </c>
      <c r="BD18" s="205">
        <f>IF(ISNUMBER(BA18/AZ18),BA18/AZ18," - ")</f>
        <v>0.68411214953271027</v>
      </c>
      <c r="BE18" s="206">
        <f>IF(ISNUMBER(BB18/BA18),BB18/BA18, " - ")</f>
        <v>1.3333333333333333</v>
      </c>
      <c r="BF18" s="206">
        <f>IF(ISNUMBER(BC18/BA18),BC18/BA18, " - ")</f>
        <v>0.11475409836065574</v>
      </c>
      <c r="BG18" s="207">
        <f>IF(ISNUMBER((AY18+AZ18)/BA18),(AY18+AZ18)/BA18," - ")</f>
        <v>2.3333333333333335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913</v>
      </c>
      <c r="J19" s="134">
        <f t="shared" si="18"/>
        <v>1145</v>
      </c>
      <c r="K19" s="134">
        <f t="shared" si="18"/>
        <v>902</v>
      </c>
      <c r="L19" s="134">
        <f t="shared" si="18"/>
        <v>1147</v>
      </c>
      <c r="M19" s="134">
        <f t="shared" si="18"/>
        <v>174</v>
      </c>
      <c r="N19" s="134">
        <f t="shared" si="18"/>
        <v>491</v>
      </c>
      <c r="O19" s="134">
        <f t="shared" si="18"/>
        <v>200</v>
      </c>
      <c r="P19" s="134">
        <f t="shared" si="18"/>
        <v>134</v>
      </c>
      <c r="Q19" s="134">
        <f t="shared" si="18"/>
        <v>54</v>
      </c>
      <c r="R19" s="134">
        <f t="shared" si="18"/>
        <v>646</v>
      </c>
      <c r="S19" s="134">
        <f t="shared" si="18"/>
        <v>585</v>
      </c>
      <c r="T19" s="134">
        <f t="shared" si="18"/>
        <v>1049</v>
      </c>
      <c r="U19" s="134">
        <f t="shared" si="18"/>
        <v>721</v>
      </c>
      <c r="V19" s="134">
        <f t="shared" si="18"/>
        <v>913</v>
      </c>
      <c r="W19" s="134">
        <f t="shared" si="18"/>
        <v>109</v>
      </c>
      <c r="X19" s="134">
        <f t="shared" si="18"/>
        <v>380</v>
      </c>
      <c r="Y19" s="134">
        <f t="shared" si="18"/>
        <v>24</v>
      </c>
      <c r="Z19" s="134">
        <f t="shared" si="18"/>
        <v>94</v>
      </c>
      <c r="AA19" s="134">
        <f t="shared" si="18"/>
        <v>103</v>
      </c>
      <c r="AB19" s="134">
        <f t="shared" si="18"/>
        <v>15</v>
      </c>
      <c r="AC19" s="134">
        <f t="shared" si="18"/>
        <v>0</v>
      </c>
      <c r="AD19" s="134">
        <f t="shared" si="18"/>
        <v>0</v>
      </c>
      <c r="AE19" s="134">
        <f t="shared" si="18"/>
        <v>0</v>
      </c>
      <c r="AF19" s="134">
        <f t="shared" si="18"/>
        <v>0</v>
      </c>
      <c r="AG19" s="134">
        <f t="shared" si="18"/>
        <v>29</v>
      </c>
      <c r="AH19" s="134">
        <f t="shared" si="18"/>
        <v>88</v>
      </c>
      <c r="AI19" s="134">
        <f t="shared" si="18"/>
        <v>93</v>
      </c>
      <c r="AJ19" s="134">
        <f t="shared" si="18"/>
        <v>24</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614</v>
      </c>
      <c r="AZ19" s="134">
        <f>SUBTOTAL(9,AZ9:AZ18)</f>
        <v>1137</v>
      </c>
      <c r="BA19" s="134">
        <f>SUBTOTAL(9,BA9:BA18)</f>
        <v>814</v>
      </c>
      <c r="BB19" s="134">
        <f>SUBTOTAL(9,BB9:BB18)</f>
        <v>937</v>
      </c>
      <c r="BC19" s="135">
        <f>SUBTOTAL(9,BC9:BC18)</f>
        <v>245</v>
      </c>
      <c r="BD19" s="213">
        <f>IF(ISNUMBER(BA19/AZ19),BA19/AZ19," - ")</f>
        <v>0.71591908531222515</v>
      </c>
      <c r="BE19" s="210">
        <f>IF(ISNUMBER(BB19/BA19),BB19/BA19, " - ")</f>
        <v>1.151105651105651</v>
      </c>
      <c r="BF19" s="210">
        <f>IF(ISNUMBER(BC19/BA19),BC19/BA19, " - ")</f>
        <v>0.300982800982801</v>
      </c>
      <c r="BG19" s="135">
        <f>IF(ISNUMBER((AY19+AZ19)/BA19),(AY19+AZ19)/BA19," - ")</f>
        <v>2.151105651105651</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xfBUW5cIFOxWCnjlDfvHcT2JwsNqqsKtBh6I81tVimZ4up3mS2RjVlwEiK9MKlLQIv6y/W3uu5lbmxr0K/jgwg==" saltValue="YJA81EQ9g0edJh/8ud+2n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opjcDbfwJVo/jsrtHxUAw4e2CkULdLOtXqepEajUZVoswbvr1BpjXcx2xwLbMAyv2vUJtgiKEI6nQRd/Tbgvg==" saltValue="tDhEouyUjkrwiA8Z6yQta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RIBADAVIA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1200</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v>
      </c>
      <c r="G10" s="333">
        <f>IF(ISNUMBER(Datos!I10),Datos!I10," - ")</f>
        <v>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v>
      </c>
      <c r="AC10" s="226">
        <f>IF(ISNUMBER(Datos!Q10),Datos!Q10," - ")</f>
        <v>0</v>
      </c>
      <c r="AD10" s="334"/>
      <c r="AE10" s="484"/>
      <c r="AF10" s="332">
        <f>IF(ISNUMBER(Datos!L10),Datos!L10,"-")</f>
        <v>9</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2</v>
      </c>
      <c r="BD10" s="229">
        <f>IF(ISNUMBER(Datos!N10),Datos!N10," - ")</f>
        <v>2</v>
      </c>
      <c r="BE10" s="229" t="str">
        <f>IF(ISNUMBER(Datos!BW10),Datos!BW10," - ")</f>
        <v xml:space="preserve"> - </v>
      </c>
      <c r="BF10" s="228" t="str">
        <f>IF(ISNUMBER(Datos!BX10),Datos!BX10," - ")</f>
        <v xml:space="preserve"> - </v>
      </c>
      <c r="BG10" s="243">
        <f>IF(ISNUMBER(Datos!K10/Datos!J10),Datos!K10/Datos!J10," - ")</f>
        <v>0.5</v>
      </c>
      <c r="BH10" s="260">
        <f>IF(ISNUMBER(((Datos!L10/Datos!K10)*11)/factor_trimestre),((Datos!L10/Datos!K10)*11)/factor_trimestre," - ")</f>
        <v>24.75</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1600</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1323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94</v>
      </c>
      <c r="O12" s="334"/>
      <c r="P12" s="334"/>
      <c r="Q12" s="226">
        <f>IF(ISNUMBER(Datos!P12),Datos!P12,0)</f>
        <v>121</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48</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628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104</v>
      </c>
      <c r="BD12" s="229">
        <f>IF(ISNUMBER(Datos!N12),Datos!N12," - ")</f>
        <v>248</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0.71387283236994215</v>
      </c>
      <c r="BH12" s="260">
        <f>IF(ISNUMBER(((IF(J_V="SI",Datos!L12/Datos!K12,(Datos!L12+Datos!AB12)/(Datos!K12+Datos!AA12)))*11)/factor_trimestre),((IF(J_V="SI",Datos!L12/Datos!K12,(Datos!L12+Datos!AB12)/(Datos!K12+Datos!AA12)))*11)/factor_trimestre," - ")</f>
        <v>14.295546558704453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0.13153153153153152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680</v>
      </c>
      <c r="BZ12" s="1186">
        <f>Datos!EZ12</f>
        <v>0</v>
      </c>
    </row>
    <row r="13" spans="1:78" ht="15.75" thickTop="1" thickBot="1">
      <c r="A13" s="178"/>
      <c r="B13" s="178"/>
      <c r="C13" s="863" t="str">
        <f>Datos!A13</f>
        <v>TOTAL</v>
      </c>
      <c r="D13" s="897"/>
      <c r="E13" s="1164">
        <f t="shared" ref="E13:Z13" si="0">SUBTOTAL(9,E8:E12)</f>
        <v>1</v>
      </c>
      <c r="F13" s="898">
        <f t="shared" si="0"/>
        <v>5</v>
      </c>
      <c r="G13" s="898">
        <f t="shared" si="0"/>
        <v>5</v>
      </c>
      <c r="H13" s="899">
        <f t="shared" si="0"/>
        <v>0</v>
      </c>
      <c r="I13" s="898">
        <f t="shared" si="0"/>
        <v>0</v>
      </c>
      <c r="J13" s="867">
        <f t="shared" si="0"/>
        <v>0</v>
      </c>
      <c r="K13" s="867">
        <f t="shared" si="0"/>
        <v>0</v>
      </c>
      <c r="L13" s="899">
        <f t="shared" si="0"/>
        <v>0</v>
      </c>
      <c r="M13" s="899">
        <f t="shared" si="0"/>
        <v>0</v>
      </c>
      <c r="N13" s="899">
        <f t="shared" si="0"/>
        <v>94</v>
      </c>
      <c r="O13" s="900">
        <f t="shared" si="0"/>
        <v>0</v>
      </c>
      <c r="P13" s="900">
        <f t="shared" si="0"/>
        <v>0</v>
      </c>
      <c r="Q13" s="899">
        <f t="shared" si="0"/>
        <v>121</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v>
      </c>
      <c r="AC13" s="899">
        <f t="shared" si="1"/>
        <v>48</v>
      </c>
      <c r="AD13" s="899">
        <f t="shared" si="1"/>
        <v>0</v>
      </c>
      <c r="AE13" s="899">
        <f t="shared" si="1"/>
        <v>0</v>
      </c>
      <c r="AF13" s="899">
        <f t="shared" si="1"/>
        <v>9</v>
      </c>
      <c r="AG13" s="899">
        <f t="shared" si="1"/>
        <v>0</v>
      </c>
      <c r="AH13" s="899">
        <f t="shared" si="1"/>
        <v>15</v>
      </c>
      <c r="AI13" s="899">
        <f t="shared" si="1"/>
        <v>0</v>
      </c>
      <c r="AJ13" s="899">
        <f t="shared" si="1"/>
        <v>0</v>
      </c>
      <c r="AK13" s="899">
        <f t="shared" si="1"/>
        <v>0</v>
      </c>
      <c r="AL13" s="899">
        <f t="shared" si="1"/>
        <v>0</v>
      </c>
      <c r="AM13" s="899">
        <f t="shared" si="1"/>
        <v>628</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106</v>
      </c>
      <c r="BD13" s="899">
        <f t="shared" si="1"/>
        <v>250</v>
      </c>
      <c r="BE13" s="899">
        <f t="shared" si="1"/>
        <v>0</v>
      </c>
      <c r="BF13" s="899">
        <f t="shared" si="1"/>
        <v>0</v>
      </c>
      <c r="BG13" s="899">
        <f>IF(ISNUMBER(Datos!K13/Datos!J13),Datos!K13/Datos!J13," - ")</f>
        <v>0.65181518151815176</v>
      </c>
      <c r="BH13" s="903">
        <f>IF(ISNUMBER(((Datos!L13/Datos!K13)*11)/factor_trimestre),((Datos!L13/Datos!K13)*11)/factor_trimestre," - ")</f>
        <v>17.71139240506329</v>
      </c>
      <c r="BI13" s="899">
        <f>IF(ISNUMBER('Resol  Asuntos'!D13/NºAsuntos!G13),'Resol  Asuntos'!D13/NºAsuntos!G13," - ")</f>
        <v>0.21285140562248997</v>
      </c>
      <c r="BJ13" s="899" t="str">
        <f>IF(ISNUMBER(Datos!CI13/Datos!CJ13),Datos!CI13/Datos!CJ13," - ")</f>
        <v xml:space="preserve"> - </v>
      </c>
      <c r="BK13" s="899">
        <f>SUBTOTAL(9,BK8:BK12)</f>
        <v>0</v>
      </c>
      <c r="BL13" s="899">
        <f>IF(ISNUMBER((I13-AB13+L13)/(F13)),(I13-AB13+L13)/(F13)," - ")</f>
        <v>-0.8</v>
      </c>
      <c r="BM13" s="904">
        <f>SUBTOTAL(9,BM9:BM12)</f>
        <v>0.13153153153153152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4803</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3300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448</v>
      </c>
      <c r="G16" s="598">
        <f>IF(ISNUMBER(IF(D_I="SI",Datos!I16,Datos!I16+Datos!AC16)),IF(D_I="SI",Datos!I16,Datos!I16+Datos!AC16)," - ")</f>
        <v>457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13</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471</v>
      </c>
      <c r="AC16" s="226">
        <f>IF(ISNUMBER(Datos!Q16),Datos!Q16," - ")</f>
        <v>6</v>
      </c>
      <c r="AD16" s="334"/>
      <c r="AE16" s="484"/>
      <c r="AF16" s="596">
        <f>IF(ISNUMBER(IF(D_I="SI",Datos!L16,Datos!L16+Datos!AF16)),IF(D_I="SI",Datos!L16,Datos!L16+Datos!AF16)," - ")</f>
        <v>478</v>
      </c>
      <c r="AG16" s="334"/>
      <c r="AH16" s="334"/>
      <c r="AI16" s="334"/>
      <c r="AJ16" s="334"/>
      <c r="AK16" s="334"/>
      <c r="AL16" s="479"/>
      <c r="AM16" s="335">
        <f>IF(ISNUMBER(Datos!R16),Datos!R16," - ")</f>
        <v>18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65</v>
      </c>
      <c r="BD16" s="229">
        <f>IF(ISNUMBER(Datos!N16),Datos!N16," - ")</f>
        <v>216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0.94011976047904189</v>
      </c>
      <c r="BH16" s="260">
        <f>IF(ISNUMBER(((IF(D_I="SI",Datos!L16/Datos!K16,(Datos!L16+Datos!AF16)/(Datos!K16+Datos!AE16)))*11)/factor_trimestre),((IF(D_I="SI",Datos!L16/Datos!K16,(Datos!L16+Datos!AF16)/(Datos!K16+Datos!AE16)))*11)/factor_trimestre," - ")</f>
        <v>11.163481953290871</v>
      </c>
      <c r="BI16" s="243">
        <f>IF(ISNUMBER('Resol  Asuntos'!D16/NºAsuntos!G16),'Resol  Asuntos'!D16/NºAsuntos!G16," - ")</f>
        <v>0.13800424628450106</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1000</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31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0</v>
      </c>
      <c r="AD17" s="334"/>
      <c r="AE17" s="484"/>
      <c r="AF17" s="332">
        <f>IF(ISNUMBER(Datos!L17),Datos!L17,"-")</f>
        <v>33</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25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0.94736842105263153</v>
      </c>
      <c r="BH17" s="260">
        <f>IF(ISNUMBER(((IF(D_I="SI",Datos!L17/Datos!K17,(Datos!L17+Datos!AF17)/(Datos!K17+Datos!AE17)))*11)/factor_trimestre),((IF(D_I="SI",Datos!L17/Datos!K17,(Datos!L17+Datos!AF17)/(Datos!K17+Datos!AE17)))*11)/factor_trimestre," - ")</f>
        <v>10.083333333333332</v>
      </c>
      <c r="BI17" s="243">
        <f>IF(ISNUMBER('Resol  Asuntos'!D17/NºAsuntos!G17),'Resol  Asuntos'!D17/NºAsuntos!G17," - ")</f>
        <v>8.3333333333333329E-2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1600</v>
      </c>
      <c r="BZ17" s="1186">
        <f>Datos!EZ17</f>
        <v>0</v>
      </c>
    </row>
    <row r="18" spans="1:78" ht="15.75" thickTop="1" thickBot="1">
      <c r="A18" s="178"/>
      <c r="B18" s="178"/>
      <c r="C18" s="863" t="str">
        <f>Datos!A18</f>
        <v>TOTAL</v>
      </c>
      <c r="D18" s="897"/>
      <c r="E18" s="1164">
        <f>SUBTOTAL(9,E15:E17)</f>
        <v>1</v>
      </c>
      <c r="F18" s="898">
        <f>SUBTOTAL(9,F15:F17)</f>
        <v>448</v>
      </c>
      <c r="G18" s="898">
        <f>SUBTOTAL(9,G15:G17)</f>
        <v>488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13</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507</v>
      </c>
      <c r="AC18" s="899">
        <f t="shared" si="4"/>
        <v>6</v>
      </c>
      <c r="AD18" s="899">
        <f t="shared" si="4"/>
        <v>0</v>
      </c>
      <c r="AE18" s="899">
        <f t="shared" si="4"/>
        <v>0</v>
      </c>
      <c r="AF18" s="899">
        <f t="shared" si="4"/>
        <v>511</v>
      </c>
      <c r="AG18" s="899">
        <f t="shared" si="4"/>
        <v>0</v>
      </c>
      <c r="AH18" s="899">
        <f t="shared" si="4"/>
        <v>0</v>
      </c>
      <c r="AI18" s="899">
        <f t="shared" si="4"/>
        <v>0</v>
      </c>
      <c r="AJ18" s="899">
        <f t="shared" si="4"/>
        <v>0</v>
      </c>
      <c r="AK18" s="899">
        <f t="shared" si="4"/>
        <v>0</v>
      </c>
      <c r="AL18" s="899">
        <f t="shared" si="4"/>
        <v>0</v>
      </c>
      <c r="AM18" s="899">
        <f t="shared" si="4"/>
        <v>18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68</v>
      </c>
      <c r="BD18" s="899">
        <f t="shared" si="4"/>
        <v>241</v>
      </c>
      <c r="BE18" s="899">
        <f t="shared" si="4"/>
        <v>0</v>
      </c>
      <c r="BF18" s="899">
        <f t="shared" si="4"/>
        <v>0</v>
      </c>
      <c r="BG18" s="899">
        <f>IF(ISNUMBER(Datos!K18/Datos!J18),Datos!K18/Datos!J18," - ")</f>
        <v>0.94063079777365488</v>
      </c>
      <c r="BH18" s="903">
        <f>IF(ISNUMBER(((Datos!L18/Datos!K18)*11)/factor_trimestre),((Datos!L18/Datos!K18)*11)/factor_trimestre," - ")</f>
        <v>11.086785009861934</v>
      </c>
      <c r="BI18" s="899">
        <f>SUBTOTAL(9,BI15:BI17)</f>
        <v>0.2213375796178344</v>
      </c>
      <c r="BJ18" s="899">
        <f>SUBTOTAL(9,BJ15:BJ17)</f>
        <v>0</v>
      </c>
      <c r="BK18" s="899">
        <f>SUBTOTAL(9,BK15:BK17)</f>
        <v>0</v>
      </c>
      <c r="BL18" s="899">
        <f>IF(ISNUMBER((I18-AB18+L18)/(F18)),(I18-AB18+L18)/(F18)," - ")</f>
        <v>-1.1316964285714286</v>
      </c>
      <c r="BM18" s="905">
        <f>IF(ISNUMBER((Datos!P18-Datos!Q18)/(Datos!R18-Datos!P18+Datos!Q18)),(Datos!P18-Datos!Q18)/(Datos!R18-Datos!P18+Datos!Q18)," - ")</f>
        <v>0.63636363636363635</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5900</v>
      </c>
      <c r="BZ18" s="1186"/>
    </row>
    <row r="19" spans="1:78" ht="18.75" customHeight="1" thickTop="1" thickBot="1">
      <c r="A19" s="172"/>
      <c r="B19" s="172"/>
      <c r="C19" s="818" t="str">
        <f>Datos!A19</f>
        <v>TOTAL JURISDICCIONES</v>
      </c>
      <c r="D19" s="818"/>
      <c r="E19" s="1166">
        <f t="shared" ref="E19:R19" si="6">SUBTOTAL(9,E9:E18)</f>
        <v>2</v>
      </c>
      <c r="F19" s="820">
        <f t="shared" si="6"/>
        <v>453</v>
      </c>
      <c r="G19" s="820">
        <f t="shared" si="6"/>
        <v>493</v>
      </c>
      <c r="H19" s="822">
        <f t="shared" si="6"/>
        <v>0</v>
      </c>
      <c r="I19" s="820">
        <f t="shared" si="6"/>
        <v>0</v>
      </c>
      <c r="J19" s="822">
        <f t="shared" si="6"/>
        <v>0</v>
      </c>
      <c r="K19" s="822">
        <f t="shared" si="6"/>
        <v>0</v>
      </c>
      <c r="L19" s="881">
        <f t="shared" si="6"/>
        <v>0</v>
      </c>
      <c r="M19" s="881">
        <f t="shared" si="6"/>
        <v>0</v>
      </c>
      <c r="N19" s="881">
        <f t="shared" si="6"/>
        <v>94</v>
      </c>
      <c r="O19" s="881">
        <f t="shared" si="6"/>
        <v>0</v>
      </c>
      <c r="P19" s="881">
        <f t="shared" si="6"/>
        <v>0</v>
      </c>
      <c r="Q19" s="822">
        <f t="shared" si="6"/>
        <v>134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511</v>
      </c>
      <c r="AC19" s="821">
        <f t="shared" si="7"/>
        <v>54</v>
      </c>
      <c r="AD19" s="821">
        <f t="shared" si="7"/>
        <v>0</v>
      </c>
      <c r="AE19" s="821">
        <f t="shared" si="7"/>
        <v>0</v>
      </c>
      <c r="AF19" s="828">
        <f t="shared" si="7"/>
        <v>520</v>
      </c>
      <c r="AG19" s="828">
        <f t="shared" si="7"/>
        <v>0</v>
      </c>
      <c r="AH19" s="828">
        <f t="shared" si="7"/>
        <v>15</v>
      </c>
      <c r="AI19" s="828">
        <f t="shared" si="7"/>
        <v>0</v>
      </c>
      <c r="AJ19" s="821">
        <f t="shared" si="7"/>
        <v>0</v>
      </c>
      <c r="AK19" s="828">
        <f t="shared" si="7"/>
        <v>0</v>
      </c>
      <c r="AL19" s="828">
        <f t="shared" si="7"/>
        <v>0</v>
      </c>
      <c r="AM19" s="828">
        <f t="shared" si="7"/>
        <v>646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174</v>
      </c>
      <c r="BD19" s="820">
        <f t="shared" si="7"/>
        <v>491</v>
      </c>
      <c r="BE19" s="820">
        <f t="shared" si="7"/>
        <v>0</v>
      </c>
      <c r="BF19" s="830">
        <f t="shared" si="7"/>
        <v>0</v>
      </c>
      <c r="BG19" s="915">
        <f>IF(ISNUMBER(Datos!K19/Datos!J19),Datos!K19/Datos!J19," - ")</f>
        <v>0.78777292576419211</v>
      </c>
      <c r="BH19" s="915">
        <f>IF(ISNUMBER(((Datos!L19/Datos!K19)*11)/factor_trimestre),((Datos!L19/Datos!K19)*11)/factor_trimestre," - ")</f>
        <v>13.987804878048781</v>
      </c>
      <c r="BI19" s="813">
        <f>IF(ISNUMBER(Datos!J19/Datos!I19),Datos!J19/Datos!I19," - ")</f>
        <v>1.2541073384446879</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-1.1280353200883002</v>
      </c>
      <c r="BM19" s="889">
        <f>IF(ISNUMBER((Datos!P19-Datos!Q19+R19)/(Datos!R19-Datos!P19+Datos!Q19-R19)),(Datos!P19-Datos!Q19+R19)/(Datos!R19-Datos!P19+Datos!Q19-R19)," - ")</f>
        <v>0.14134275618374559</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10703</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197.2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255.76616925100421</v>
      </c>
      <c r="G21" s="552">
        <f>IF(ISNUMBER(STDEV(G8:G18)),STDEV(G8:G18),"-")</f>
        <v>251.77609100150872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260.44250805120123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46.324939287601879</v>
      </c>
      <c r="BD21" s="551"/>
      <c r="BE21" s="551">
        <f>IF(ISNUMBER(STDEV(BE8:BE18)),STDEV(BE8:BE18),"-")</f>
        <v>0</v>
      </c>
      <c r="BF21" s="556">
        <f>IF(ISNUMBER(STDEV(BF8:BF18)),STDEV(BF8:BF18),"-")</f>
        <v>0</v>
      </c>
      <c r="BG21" s="775">
        <f>IF(ISNUMBER(STDEV(BG8:BG18)),STDEV(BG8:BG18),"-")</f>
        <v>0.18901066481343085</v>
      </c>
      <c r="BH21" s="776">
        <f>IF(ISNUMBER(STDEV(BH8:BH18)),STDEV(BH8:BH18),"-")</f>
        <v>5.6031827326715318</v>
      </c>
      <c r="BI21" s="249">
        <f>IF(ISNUMBER(STDEV(BI8:BI18)),STDEV(BI8:BI18),"-")</f>
        <v>6.5464728810925757E-2</v>
      </c>
      <c r="BJ21" s="230" t="str">
        <f>IF(ISNUMBER(BL21/BM21),BL21/BM21," - ")</f>
        <v xml:space="preserve"> - </v>
      </c>
      <c r="BK21" s="575"/>
      <c r="BL21" s="559">
        <f>IF(ISNUMBER(STDEV(BL8:BL18)),STDEV(BL8:BL18),"-")</f>
        <v>0.23454479393821698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1858.3781982626083</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28 feb. 2025</v>
      </c>
    </row>
    <row r="32" spans="1:78">
      <c r="C32" s="527"/>
      <c r="D32" s="527"/>
    </row>
  </sheetData>
  <sheetProtection algorithmName="SHA-512" hashValue="WMXz2tEPURlDI5VzshVjRz3O0WaYaCPFd715r4tg9W95W1MxTWksR5uwL6SzG4wfTA/VD3/iMJyLRqwqMEs4Vw==" saltValue="ON1k7TMrJTq7KepULmYclQ=="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OURENSE  Resumenes por Partidos Judiciales  RIBADAVIA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1 al 4</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1200</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v>
      </c>
      <c r="G10" s="225">
        <f>IF(ISNUMBER(Datos!I10),Datos!I10," - ")</f>
        <v>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v>
      </c>
      <c r="Z10" s="619">
        <f>IF(ISNUMBER(Datos!Q10),Datos!Q10," - ")</f>
        <v>0</v>
      </c>
      <c r="AA10" s="332">
        <f>IF(ISNUMBER(Datos!L10),Datos!L10,"-")</f>
        <v>9</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2</v>
      </c>
      <c r="AK10" s="229">
        <f>IF(ISNUMBER(Datos!N10),Datos!N10," - ")</f>
        <v>2</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24.75</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1600</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1323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121</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48</v>
      </c>
      <c r="AA12" s="332" t="str">
        <f>IF(ISNUMBER(IF(J_V="SI",Datos!L12,Datos!L12+Datos!AB12)-IF(Monitorios="SI",Datos!CD12,0)),
                          IF(J_V="SI",Datos!L12,Datos!L12+Datos!AB12)-IF(Monitorios="SI",Datos!CD12,0),
                          " - ")</f>
        <v xml:space="preserve"> - </v>
      </c>
      <c r="AB12" s="334"/>
      <c r="AC12" s="334"/>
      <c r="AD12" s="484"/>
      <c r="AE12" s="484">
        <f>IF(ISNUMBER(Datos!R12),Datos!R12," - ")</f>
        <v>628</v>
      </c>
      <c r="AF12" s="229" t="str">
        <f>IF(ISNUMBER(Datos!BV12),Datos!BV12," - ")</f>
        <v xml:space="preserve"> - </v>
      </c>
      <c r="AG12" s="225" t="str">
        <f>IF(ISNUMBER(Datos!DV12),Datos!DV12," - ")</f>
        <v xml:space="preserve"> - </v>
      </c>
      <c r="AH12" s="298"/>
      <c r="AI12" s="227"/>
      <c r="AJ12" s="225">
        <f>IF(ISNUMBER(Datos!M12),Datos!M12," - ")</f>
        <v>104</v>
      </c>
      <c r="AK12" s="229">
        <f>IF(ISNUMBER(Datos!N12),Datos!N12," - ")</f>
        <v>248</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14.295546558704453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0.13153153153153152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680</v>
      </c>
      <c r="BZ12" s="1186">
        <f>Datos!EZ12</f>
        <v>0</v>
      </c>
    </row>
    <row r="13" spans="1:78" ht="15.75" thickTop="1" thickBot="1">
      <c r="A13" s="178"/>
      <c r="B13" s="178"/>
      <c r="C13" s="863" t="str">
        <f>Datos!A13</f>
        <v>TOTAL</v>
      </c>
      <c r="D13" s="863"/>
      <c r="E13" s="898">
        <f>SUBTOTAL(9,E8:E12)</f>
        <v>1</v>
      </c>
      <c r="F13" s="898">
        <f>SUBTOTAL(9,F8:F12)</f>
        <v>5</v>
      </c>
      <c r="G13" s="898">
        <f>SUBTOTAL(9,G8:G12)</f>
        <v>5</v>
      </c>
      <c r="H13" s="908"/>
      <c r="I13" s="898">
        <f t="shared" ref="I13:N13" si="0">SUBTOTAL(9,I8:I12)</f>
        <v>0</v>
      </c>
      <c r="J13" s="867">
        <f t="shared" si="0"/>
        <v>0</v>
      </c>
      <c r="K13" s="908">
        <f t="shared" si="0"/>
        <v>0</v>
      </c>
      <c r="L13" s="908">
        <f t="shared" si="0"/>
        <v>0</v>
      </c>
      <c r="M13" s="908">
        <f t="shared" si="0"/>
        <v>0</v>
      </c>
      <c r="N13" s="908">
        <f t="shared" si="0"/>
        <v>121</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v>
      </c>
      <c r="Z13" s="907">
        <f t="shared" si="2"/>
        <v>48</v>
      </c>
      <c r="AA13" s="900">
        <f t="shared" si="2"/>
        <v>9</v>
      </c>
      <c r="AB13" s="900">
        <f t="shared" si="2"/>
        <v>0</v>
      </c>
      <c r="AC13" s="900">
        <f t="shared" si="2"/>
        <v>0</v>
      </c>
      <c r="AD13" s="900">
        <f t="shared" si="2"/>
        <v>0</v>
      </c>
      <c r="AE13" s="900">
        <f t="shared" si="2"/>
        <v>628</v>
      </c>
      <c r="AF13" s="908">
        <f t="shared" si="2"/>
        <v>0</v>
      </c>
      <c r="AG13" s="908">
        <f t="shared" si="2"/>
        <v>0</v>
      </c>
      <c r="AH13" s="908">
        <f t="shared" si="2"/>
        <v>0</v>
      </c>
      <c r="AI13" s="908">
        <f t="shared" si="2"/>
        <v>0</v>
      </c>
      <c r="AJ13" s="908">
        <f t="shared" si="2"/>
        <v>106</v>
      </c>
      <c r="AK13" s="908">
        <f t="shared" si="2"/>
        <v>250</v>
      </c>
      <c r="AL13" s="908">
        <f t="shared" si="2"/>
        <v>0</v>
      </c>
      <c r="AM13" s="908">
        <f t="shared" si="2"/>
        <v>0</v>
      </c>
      <c r="AN13" s="908">
        <f t="shared" si="2"/>
        <v>0</v>
      </c>
      <c r="AO13" s="904">
        <f>IF(ISNUMBER(((NºAsuntos!I13/NºAsuntos!G13)*11)/factor_trimestre),((NºAsuntos!I13/NºAsuntos!G13)*11)/factor_trimestre," - ")</f>
        <v>14.379518072289157</v>
      </c>
      <c r="AP13" s="910" t="str">
        <f>IF(ISNUMBER(Datos!CI13/Datos!CJ13),Datos!CI13/Datos!CJ13," - ")</f>
        <v xml:space="preserve"> - </v>
      </c>
      <c r="AQ13" s="928">
        <f t="shared" ref="AQ13:AV13" si="3">SUBTOTAL(9,AQ9:AQ12)</f>
        <v>0</v>
      </c>
      <c r="AR13" s="928">
        <f t="shared" si="3"/>
        <v>0.13153153153153152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3300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448</v>
      </c>
      <c r="G16" s="225">
        <f>IF(ISNUMBER(IF(D_I="SI",Datos!I16,Datos!I16+Datos!AC16)),IF(D_I="SI",Datos!I16,Datos!I16+Datos!AC16)," - ")</f>
        <v>457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13</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471</v>
      </c>
      <c r="Z16" s="619">
        <f>IF(ISNUMBER(Datos!Q16),Datos!Q16," - ")</f>
        <v>6</v>
      </c>
      <c r="AA16" s="332">
        <f>IF(ISNUMBER(IF(D_I="SI",Datos!L16,Datos!L16+Datos!AF16)),IF(D_I="SI",Datos!L16,Datos!L16+Datos!AF16)," - ")</f>
        <v>478</v>
      </c>
      <c r="AB16" s="334"/>
      <c r="AC16" s="334"/>
      <c r="AD16" s="484"/>
      <c r="AE16" s="484">
        <f>IF(ISNUMBER(Datos!R16),Datos!R16," - ")</f>
        <v>18</v>
      </c>
      <c r="AF16" s="229" t="str">
        <f>IF(ISNUMBER(Datos!BV16),Datos!BV16," - ")</f>
        <v xml:space="preserve"> - </v>
      </c>
      <c r="AG16" s="225"/>
      <c r="AH16" s="298"/>
      <c r="AI16" s="227"/>
      <c r="AJ16" s="225">
        <f>IF(ISNUMBER(Datos!M16),Datos!M16," - ")</f>
        <v>65</v>
      </c>
      <c r="AK16" s="229">
        <f>IF(ISNUMBER(Datos!N16),Datos!N16," - ")</f>
        <v>216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11.163481953290871</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1000</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31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0</v>
      </c>
      <c r="AA17" s="332">
        <f>IF(ISNUMBER(Datos!L17),Datos!L17,"-")</f>
        <v>33</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25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10.083333333333332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1600</v>
      </c>
      <c r="BZ17" s="1186">
        <f>Datos!EZ17</f>
        <v>0</v>
      </c>
    </row>
    <row r="18" spans="1:78" ht="15.75" thickTop="1" thickBot="1">
      <c r="A18" s="178"/>
      <c r="B18" s="178"/>
      <c r="C18" s="863" t="str">
        <f>Datos!A18</f>
        <v>TOTAL</v>
      </c>
      <c r="D18" s="863"/>
      <c r="E18" s="1169">
        <f>SUBTOTAL(9,E15:E17)</f>
        <v>1</v>
      </c>
      <c r="F18" s="898">
        <f>SUBTOTAL(9,F15:F17)</f>
        <v>448</v>
      </c>
      <c r="G18" s="898">
        <f>SUBTOTAL(9,G15:G17)</f>
        <v>488</v>
      </c>
      <c r="H18" s="932">
        <f>SUBTOTAL(9,H15:H17)</f>
        <v>0</v>
      </c>
      <c r="I18" s="911">
        <f>SUBTOTAL(9,I15:I17)</f>
        <v>0</v>
      </c>
      <c r="J18" s="867">
        <f>SUBTOTAL(9,J14:J17)</f>
        <v>0</v>
      </c>
      <c r="K18" s="932">
        <f t="shared" ref="K18:S18" si="4">SUBTOTAL(9,K15:K17)</f>
        <v>0</v>
      </c>
      <c r="L18" s="932">
        <f t="shared" si="4"/>
        <v>0</v>
      </c>
      <c r="M18" s="932">
        <f t="shared" si="4"/>
        <v>0</v>
      </c>
      <c r="N18" s="932">
        <f t="shared" si="4"/>
        <v>13</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507</v>
      </c>
      <c r="Z18" s="932">
        <f t="shared" si="5"/>
        <v>6</v>
      </c>
      <c r="AA18" s="932">
        <f t="shared" si="5"/>
        <v>511</v>
      </c>
      <c r="AB18" s="932">
        <f t="shared" si="5"/>
        <v>0</v>
      </c>
      <c r="AC18" s="932">
        <f t="shared" si="5"/>
        <v>0</v>
      </c>
      <c r="AD18" s="932">
        <f t="shared" si="5"/>
        <v>0</v>
      </c>
      <c r="AE18" s="932">
        <f t="shared" si="5"/>
        <v>18</v>
      </c>
      <c r="AF18" s="932">
        <f t="shared" si="5"/>
        <v>0</v>
      </c>
      <c r="AG18" s="932">
        <f t="shared" si="5"/>
        <v>0</v>
      </c>
      <c r="AH18" s="932">
        <f t="shared" si="5"/>
        <v>0</v>
      </c>
      <c r="AI18" s="932">
        <f t="shared" si="5"/>
        <v>0</v>
      </c>
      <c r="AJ18" s="932">
        <f t="shared" si="5"/>
        <v>68</v>
      </c>
      <c r="AK18" s="932">
        <f t="shared" si="5"/>
        <v>241</v>
      </c>
      <c r="AL18" s="932">
        <f t="shared" si="5"/>
        <v>0</v>
      </c>
      <c r="AM18" s="932">
        <f t="shared" si="5"/>
        <v>0</v>
      </c>
      <c r="AN18" s="932">
        <f t="shared" si="5"/>
        <v>0</v>
      </c>
      <c r="AO18" s="934">
        <f>IF(ISNUMBER(((NºAsuntos!I18/NºAsuntos!G18)*11)/factor_trimestre),((NºAsuntos!I18/NºAsuntos!G18)*11)/factor_trimestre," - ")</f>
        <v>11.086785009861934</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453</v>
      </c>
      <c r="G19" s="820">
        <f t="shared" si="7"/>
        <v>493</v>
      </c>
      <c r="H19" s="821">
        <f t="shared" si="7"/>
        <v>0</v>
      </c>
      <c r="I19" s="820">
        <f t="shared" si="7"/>
        <v>0</v>
      </c>
      <c r="J19" s="822">
        <f t="shared" si="7"/>
        <v>0</v>
      </c>
      <c r="K19" s="820">
        <f t="shared" si="7"/>
        <v>0</v>
      </c>
      <c r="L19" s="823">
        <f t="shared" si="7"/>
        <v>0</v>
      </c>
      <c r="M19" s="820">
        <f t="shared" si="7"/>
        <v>0</v>
      </c>
      <c r="N19" s="821">
        <f t="shared" si="7"/>
        <v>134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511</v>
      </c>
      <c r="Z19" s="827">
        <f t="shared" si="8"/>
        <v>54</v>
      </c>
      <c r="AA19" s="828">
        <f t="shared" si="8"/>
        <v>520</v>
      </c>
      <c r="AB19" s="828">
        <f t="shared" si="8"/>
        <v>0</v>
      </c>
      <c r="AC19" s="828">
        <f t="shared" si="8"/>
        <v>0</v>
      </c>
      <c r="AD19" s="829">
        <f t="shared" si="8"/>
        <v>0</v>
      </c>
      <c r="AE19" s="829">
        <f t="shared" si="8"/>
        <v>646</v>
      </c>
      <c r="AF19" s="830">
        <f t="shared" si="8"/>
        <v>0</v>
      </c>
      <c r="AG19" s="831">
        <f t="shared" si="8"/>
        <v>0</v>
      </c>
      <c r="AH19" s="832">
        <f t="shared" si="8"/>
        <v>0</v>
      </c>
      <c r="AI19" s="830">
        <f t="shared" si="8"/>
        <v>0</v>
      </c>
      <c r="AJ19" s="820">
        <f t="shared" si="8"/>
        <v>174</v>
      </c>
      <c r="AK19" s="820">
        <f t="shared" si="8"/>
        <v>491</v>
      </c>
      <c r="AL19" s="820">
        <f t="shared" si="8"/>
        <v>0</v>
      </c>
      <c r="AM19" s="833">
        <f t="shared" si="8"/>
        <v>0</v>
      </c>
      <c r="AN19" s="823">
        <f>IF(ISNUMBER(Datos!K19/Datos!J19),Datos!K19/Datos!J19," - ")</f>
        <v>0.78777292576419211</v>
      </c>
      <c r="AO19" s="823">
        <f>IF(ISNUMBER(FIND("06",Criterios!A8,1)),(IF(ISNUMBER(((Datos!R19/Datos!Q19)*11)/factor_trimestre),((Datos!R19/Datos!Q19)*11)/factor_trimestre," - ")),(IF(ISNUMBER(((Datos!L19/Datos!K19)*11)/factor_trimestre),((Datos!L19/Datos!K19)*11)/factor_trimestre," - ")))</f>
        <v>13.987804878048781</v>
      </c>
      <c r="AP19" s="834" t="str">
        <f>IF(ISNUMBER(Datos!CI19/Datos!CJ19),Datos!CI19/Datos!CJ19," - ")</f>
        <v xml:space="preserve"> - </v>
      </c>
      <c r="AQ19" s="834">
        <f>IF(OR(ISNUMBER(FIND("01",Criterios!A8,1)),ISNUMBER(FIND("02",Criterios!A8,1)),ISNUMBER(FIND("03",Criterios!A8,1)),ISNUMBER(FIND("04",Criterios!A8,1))),(J19-Y19+K19)/(F19-K19),(I19-Y19+K19)/(F19-K19))</f>
        <v>-1.1280353200883002</v>
      </c>
      <c r="AR19" s="834">
        <f>IF(ISNUMBER((Datos!P19-Datos!Q19+O19)/(Datos!R19-Datos!P19+Datos!Q19-O19)),(Datos!P19-Datos!Q19+O19)/(Datos!R19-Datos!P19+Datos!Q19-O19)," - ")</f>
        <v>0.14134275618374559</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197.2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255.76616925100421</v>
      </c>
      <c r="G21" s="552">
        <f>IF(ISNUMBER(STDEV(G8:G18)),STDEV(G8:G18),"-")</f>
        <v>251.77609100150872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46.324939287601879</v>
      </c>
      <c r="AK21" s="252"/>
      <c r="AL21" s="252">
        <f>IF(ISNUMBER(STDEV(AL8:AL18)),STDEV(AL8:AL18),"-")</f>
        <v>0</v>
      </c>
      <c r="AM21" s="254">
        <f>IF(ISNUMBER(STDEV(AM8:AM18)),STDEV(AM8:AM18),"-")</f>
        <v>0</v>
      </c>
      <c r="AN21" s="539">
        <f>IF(ISNUMBER(STDEV(AN8:AN18)),STDEV(AN8:AN18),"-")</f>
        <v>0</v>
      </c>
      <c r="AO21" s="540">
        <f>IF(ISNUMBER(STDEV(AO8:AO18)),STDEV(AO8:AO18),"-")</f>
        <v>5.4249669492120285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846.34921870348535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28 feb. 2025</v>
      </c>
    </row>
    <row r="32" spans="1:78" ht="13.5" thickBot="1">
      <c r="C32" s="536"/>
      <c r="D32" s="527"/>
      <c r="E32" s="527"/>
    </row>
    <row r="33" spans="12:12" ht="15" thickBot="1">
      <c r="L33" s="546"/>
    </row>
  </sheetData>
  <sheetProtection algorithmName="SHA-512" hashValue="wg3Z2krG/5Ri/izGx8xOaoqLLS/xA6CMD2NrrM49ZPi8rzRa61Zh48OMdWd4k3JR3CIISohUnPnGWfEibNsj9g==" saltValue="JIRVjDQEpsmRILUqXGW1t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1 al 4</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GNNBZ4vhvmld4MsE8Sl0K5LJGU1+dYYGGUe7ekZq8HBkbvbrbTU6iKMBOTggJMwW2AERBmdlFvbCGOeuiR3VWg==" saltValue="wtWIHAqsKR0LnFJi/c5Oa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OURENSE</v>
      </c>
      <c r="CE4" s="1441" t="s">
        <v>273</v>
      </c>
      <c r="CF4" s="1442"/>
      <c r="CG4" s="1442"/>
      <c r="CH4" s="1443"/>
    </row>
    <row r="5" spans="1:156" ht="12.75" customHeight="1" thickBot="1">
      <c r="A5" s="1411" t="str">
        <f>"Año:  " &amp;Criterios!B5 &amp; "                  Trimestre   " &amp;Criterios!D5 &amp; " al " &amp;Criterios!D6</f>
        <v>Año:  2024                  Trimestre   1 al 4</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wftzq+pS+Qrye4jLj1/X8TXE6eEgF7zx5fuv/F3IAMlddzbTWDccTjczoaTM2t1DYhfxKTCCq1eEUCb6MpY3Uw==" saltValue="fNU+DfUF3b+bwlY7pTG4v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OURENSE  Resumenes por Partidos Judiciales  RIBADAVIA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1 al 4</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0.21285140562248997</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0.15050867230075107</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28 feb. 2025</v>
      </c>
    </row>
    <row r="32" spans="1:78">
      <c r="C32" s="774"/>
      <c r="D32" s="774"/>
    </row>
  </sheetData>
  <sheetProtection algorithmName="SHA-512" hashValue="3h55WrCE28Z5rX5faOL8gQB6fj7sowR0fq46/+Gu1y81UE1/OuemJNuH9l78I43xpCeCMD6OU0z4opMRh5G8Cw==" saltValue="ohBrjqcu1DOE+t+PvYXq/w=="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entK9pbyaVFYErJxWS6ZPJ5eVYq8K/S739TBH7jnkTFeFpq8eX7gO+MXqVxDsZCBmsZFeHSNRPvCPuvZch8WYg==" saltValue="tGR8qswRV/uBiznRlhU+eQ=="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OURENSE  Resumenes por Partidos Judiciales  RIBADAVIA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1 al 4</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v>
      </c>
      <c r="G10" s="684">
        <f>IF(ISNUMBER(Datos!I10),Datos!I10," - ")</f>
        <v>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v>
      </c>
      <c r="AC10" s="683" t="str">
        <f>IF(ISNUMBER(IF(D_I="SI",DatosP!K17,DatosP!K17+DatosP!AE17)),IF(D_I="SI",DatosP!K17,DatosP!K17+DatosP!AE17)," - ")</f>
        <v xml:space="preserve"> - </v>
      </c>
      <c r="AD10" s="685"/>
      <c r="AE10" s="685"/>
      <c r="AF10" s="688">
        <f>IF(ISNUMBER(Datos!L10),Datos!L10,"-")</f>
        <v>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2</v>
      </c>
      <c r="AM10" s="690">
        <f>IF(ISNUMBER(Datos!N10+DatosP!N17),Datos!N10+DatosP!N17," - ")</f>
        <v>2</v>
      </c>
      <c r="AN10" s="690">
        <f>IF(ISNUMBER(Datos!BW10+DatosP!BW17),Datos!BW10+DatosP!BW17," - ")</f>
        <v>0</v>
      </c>
      <c r="AO10" s="691">
        <f>IF(ISNUMBER(Datos!BX10+DatosP!BX17),Datos!BX10+DatosP!BX17," - ")</f>
        <v>0</v>
      </c>
      <c r="AP10" s="693">
        <f>IF(ISNUMBER(((Datos!L10/Datos!K10)*11)/factor_trimestre),((Datos!L10/Datos!K10)*11)/factor_trimestre," - ")</f>
        <v>24.75</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121</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48</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628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104</v>
      </c>
      <c r="AM12" s="690">
        <f>IF(ISNUMBER(Datos!N12+DatosP!N16),Datos!N12+DatosP!N16," - ")</f>
        <v>248</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14.295546558704453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0.13153153153153152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5</v>
      </c>
      <c r="G13" s="938">
        <f t="shared" si="0"/>
        <v>5</v>
      </c>
      <c r="H13" s="938">
        <f t="shared" si="0"/>
        <v>0</v>
      </c>
      <c r="I13" s="940">
        <f t="shared" si="0"/>
        <v>0</v>
      </c>
      <c r="J13" s="939">
        <f t="shared" si="0"/>
        <v>0</v>
      </c>
      <c r="K13" s="939">
        <f t="shared" si="0"/>
        <v>0</v>
      </c>
      <c r="L13" s="941">
        <f t="shared" si="0"/>
        <v>0</v>
      </c>
      <c r="M13" s="941">
        <f t="shared" si="0"/>
        <v>0</v>
      </c>
      <c r="N13" s="939">
        <f t="shared" si="0"/>
        <v>121</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v>
      </c>
      <c r="AC13" s="939">
        <f t="shared" si="1"/>
        <v>0</v>
      </c>
      <c r="AD13" s="939">
        <f t="shared" si="1"/>
        <v>48</v>
      </c>
      <c r="AE13" s="939">
        <f t="shared" si="1"/>
        <v>0</v>
      </c>
      <c r="AF13" s="939">
        <f t="shared" si="1"/>
        <v>9</v>
      </c>
      <c r="AG13" s="939">
        <f t="shared" si="1"/>
        <v>0</v>
      </c>
      <c r="AH13" s="939">
        <f t="shared" si="1"/>
        <v>628</v>
      </c>
      <c r="AI13" s="939">
        <f t="shared" si="1"/>
        <v>0</v>
      </c>
      <c r="AJ13" s="939">
        <f t="shared" si="1"/>
        <v>0</v>
      </c>
      <c r="AK13" s="939">
        <f t="shared" si="1"/>
        <v>0</v>
      </c>
      <c r="AL13" s="939">
        <f t="shared" si="1"/>
        <v>106</v>
      </c>
      <c r="AM13" s="939">
        <f t="shared" si="1"/>
        <v>250</v>
      </c>
      <c r="AN13" s="939">
        <f t="shared" si="1"/>
        <v>0</v>
      </c>
      <c r="AO13" s="939">
        <f t="shared" si="1"/>
        <v>0</v>
      </c>
      <c r="AP13" s="944">
        <f>IF(ISNUMBER(((Datos!L13/Datos!K13)*11)/factor_trimestre),((Datos!L13/Datos!K13)*11)/factor_trimestre," - ")</f>
        <v>17.71139240506329</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-0.8</v>
      </c>
      <c r="AU13" s="939" t="str">
        <f>IF(ISNUMBER((DatosP!#REF!-DatosP!#REF!+DatosP!#REF!)/(DatosP!#REF!+DatosP!#REF!-DatosP!#REF!-DatosP!#REF!)),(DatosP!#REF!-DatosP!#REF!+DatosP!#REF!)/(DatosP!#REF!+DatosP!#REF!-DatosP!#REF!-DatosP!#REF!)," - ")</f>
        <v xml:space="preserve"> - </v>
      </c>
      <c r="AV13" s="945">
        <f>SUBTOTAL(9,AV9:AV12)</f>
        <v>0.13153153153153152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11.086785009861934</v>
      </c>
      <c r="AQ18" s="944">
        <f>IF(ISNUMBER(((Datos!M18/Datos!L18)*11)/factor_trimestre),((Datos!M18/Datos!L18)*11)/factor_trimestre," - ")</f>
        <v>1.4637964774951076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0.63636363636363635</v>
      </c>
      <c r="AW18" s="946">
        <f>IF(ISNUMBER((Datos!Q18-Datos!R18)/(Datos!S18-Datos!Q18+Datos!R18)),(Datos!Q18-Datos!R18)/(Datos!S18-Datos!Q18+Datos!R18)," - ")</f>
        <v>-3.6253776435045321E-2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5</v>
      </c>
      <c r="G19" s="951">
        <f t="shared" si="4"/>
        <v>5</v>
      </c>
      <c r="H19" s="951">
        <f t="shared" si="4"/>
        <v>0</v>
      </c>
      <c r="I19" s="952">
        <f t="shared" si="4"/>
        <v>0</v>
      </c>
      <c r="J19" s="953">
        <f t="shared" si="4"/>
        <v>0</v>
      </c>
      <c r="K19" s="953">
        <f t="shared" si="4"/>
        <v>0</v>
      </c>
      <c r="L19" s="953">
        <f t="shared" si="4"/>
        <v>0</v>
      </c>
      <c r="M19" s="953">
        <f t="shared" si="4"/>
        <v>0</v>
      </c>
      <c r="N19" s="952">
        <f t="shared" si="4"/>
        <v>121</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v>
      </c>
      <c r="AC19" s="957">
        <f t="shared" si="5"/>
        <v>0</v>
      </c>
      <c r="AD19" s="957">
        <f t="shared" si="5"/>
        <v>48</v>
      </c>
      <c r="AE19" s="957">
        <f t="shared" si="5"/>
        <v>0</v>
      </c>
      <c r="AF19" s="958">
        <f t="shared" si="5"/>
        <v>9</v>
      </c>
      <c r="AG19" s="958">
        <f t="shared" si="5"/>
        <v>0</v>
      </c>
      <c r="AH19" s="958">
        <f t="shared" si="5"/>
        <v>628</v>
      </c>
      <c r="AI19" s="958">
        <f t="shared" si="5"/>
        <v>0</v>
      </c>
      <c r="AJ19" s="959">
        <f t="shared" si="5"/>
        <v>0</v>
      </c>
      <c r="AK19" s="959">
        <f t="shared" si="5"/>
        <v>0</v>
      </c>
      <c r="AL19" s="951">
        <f t="shared" si="5"/>
        <v>106</v>
      </c>
      <c r="AM19" s="951">
        <f t="shared" si="5"/>
        <v>250</v>
      </c>
      <c r="AN19" s="951">
        <f t="shared" si="5"/>
        <v>0</v>
      </c>
      <c r="AO19" s="951">
        <f t="shared" si="5"/>
        <v>0</v>
      </c>
      <c r="AP19" s="951">
        <f>IF(ISNUMBER(((Datos!L19/Datos!K19)*11)/factor_trimestre),((Datos!L19/Datos!K19)*11)/factor_trimestre," - ")</f>
        <v>13.987804878048781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-0.8</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0.14134275618374559</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3.3333333333333335</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2.8867513459481287</v>
      </c>
      <c r="G21" s="737">
        <f>IF(ISNUMBER(STDEV(G8:G18)),STDEV(G8:G18),"-")</f>
        <v>2.8867513459481287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2.3094010767585034</v>
      </c>
      <c r="AC21" s="738">
        <f>IF(ISNUMBER(STDEV(AC8:AC18)),STDEV(AC8:AC18),"-")</f>
        <v>0</v>
      </c>
      <c r="AD21" s="741"/>
      <c r="AE21" s="741"/>
      <c r="AF21" s="741"/>
      <c r="AG21" s="741"/>
      <c r="AH21" s="741"/>
      <c r="AI21" s="741"/>
      <c r="AJ21" s="742">
        <f>IF(ISNUMBER(STDEV(AJ8:AJ18)),STDEV(AJ8:AJ18),"-")</f>
        <v>0</v>
      </c>
      <c r="AK21" s="744"/>
      <c r="AL21" s="736">
        <f>IF(ISNUMBER(STDEV(AL8:AL18)),STDEV(AL8:AL18),"-")</f>
        <v>60.055529859178385</v>
      </c>
      <c r="AM21" s="736"/>
      <c r="AN21" s="736">
        <f>IF(ISNUMBER(STDEV(AN8:AN18)),STDEV(AN8:AN18),"-")</f>
        <v>0</v>
      </c>
      <c r="AO21" s="742">
        <f>IF(ISNUMBER(STDEV(AO8:AO18)),STDEV(AO8:AO18),"-")</f>
        <v>0</v>
      </c>
      <c r="AP21" s="779">
        <f>IF(ISNUMBER(STDEV(AP8:AP18)),STDEV(AP8:AP18),"-")</f>
        <v>5.8549880028515373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28 feb. 2025</v>
      </c>
      <c r="W30"/>
      <c r="X30"/>
    </row>
    <row r="32" spans="1:78">
      <c r="C32" s="774"/>
      <c r="D32" s="774"/>
      <c r="W32"/>
      <c r="X32"/>
    </row>
  </sheetData>
  <sheetProtection algorithmName="SHA-512" hashValue="prhrOotrA40623CX32wLZjg0lXZnLla+Cvx27VX9ncl1vpdNol2HyTkmHoQXUMpCZxuNgpbMOcTbpWy99gTxHQ==" saltValue="QoPOZomEkfdP09/Z/w0Xy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2025-02-28T10:07:56Z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